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8750" windowHeight="10950" tabRatio="679"/>
  </bookViews>
  <sheets>
    <sheet name="Приложение 1" sheetId="1" r:id="rId1"/>
    <sheet name="Приложение 2" sheetId="2" r:id="rId2"/>
    <sheet name="Приложение 3" sheetId="6" r:id="rId3"/>
    <sheet name="для пояснительной" sheetId="5" state="hidden" r:id="rId4"/>
  </sheets>
  <definedNames>
    <definedName name="_xlnm._FilterDatabase" localSheetId="0" hidden="1">'Приложение 1'!$A$7:$M$185</definedName>
    <definedName name="_xlnm._FilterDatabase" localSheetId="1" hidden="1">'Приложение 2'!$A$7:$O$7</definedName>
    <definedName name="_xlnm._FilterDatabase" localSheetId="2" hidden="1">'Приложение 3'!$A$7:$O$205</definedName>
    <definedName name="_xlnm.Print_Titles" localSheetId="0">'Приложение 1'!$6:$7</definedName>
    <definedName name="_xlnm.Print_Titles" localSheetId="1">'Приложение 2'!$6:$7</definedName>
    <definedName name="_xlnm.Print_Titles" localSheetId="2">'Приложение 3'!$6:$7</definedName>
    <definedName name="_xlnm.Print_Area" localSheetId="3">'для пояснительной'!$A$2:$D$12</definedName>
    <definedName name="_xlnm.Print_Area" localSheetId="0">'Приложение 1'!$A$1:$P$187</definedName>
    <definedName name="_xlnm.Print_Area" localSheetId="1">'Приложение 2'!$A$1:$P$311</definedName>
    <definedName name="_xlnm.Print_Area" localSheetId="2">'Приложение 3'!$A$1:$P$101</definedName>
  </definedNames>
  <calcPr calcId="152511"/>
</workbook>
</file>

<file path=xl/calcChain.xml><?xml version="1.0" encoding="utf-8"?>
<calcChain xmlns="http://schemas.openxmlformats.org/spreadsheetml/2006/main">
  <c r="N72" i="6" l="1"/>
  <c r="O72" i="6"/>
  <c r="M72" i="6"/>
  <c r="M70" i="6"/>
  <c r="M71" i="6"/>
  <c r="O71" i="6"/>
  <c r="O70" i="6" s="1"/>
  <c r="N71" i="6"/>
  <c r="N70" i="6" s="1"/>
  <c r="N76" i="6"/>
  <c r="O76" i="6"/>
  <c r="M76" i="6"/>
  <c r="M82" i="6"/>
  <c r="M83" i="6"/>
  <c r="M17" i="6"/>
  <c r="M16" i="6" s="1"/>
  <c r="N67" i="6"/>
  <c r="O67" i="6"/>
  <c r="M67" i="6"/>
  <c r="N19" i="6"/>
  <c r="O19" i="6"/>
  <c r="P18" i="6"/>
  <c r="P20" i="6"/>
  <c r="P21" i="6"/>
  <c r="P22" i="6"/>
  <c r="P23" i="6"/>
  <c r="P24" i="6"/>
  <c r="P26" i="6"/>
  <c r="P27" i="6"/>
  <c r="P28" i="6"/>
  <c r="P30" i="6"/>
  <c r="P31" i="6"/>
  <c r="P32" i="6"/>
  <c r="P33" i="6"/>
  <c r="P34" i="6"/>
  <c r="P35" i="6"/>
  <c r="P36" i="6"/>
  <c r="P37" i="6"/>
  <c r="P38" i="6"/>
  <c r="P39" i="6"/>
  <c r="P41" i="6"/>
  <c r="P42" i="6"/>
  <c r="P43" i="6"/>
  <c r="P44" i="6"/>
  <c r="P45" i="6"/>
  <c r="P46" i="6"/>
  <c r="P47" i="6"/>
  <c r="P49" i="6"/>
  <c r="P51" i="6"/>
  <c r="P52" i="6"/>
  <c r="P53" i="6"/>
  <c r="P54" i="6"/>
  <c r="P56" i="6"/>
  <c r="P57" i="6"/>
  <c r="P58" i="6"/>
  <c r="P59" i="6"/>
  <c r="P61" i="6"/>
  <c r="P62" i="6"/>
  <c r="P63" i="6"/>
  <c r="P64" i="6"/>
  <c r="P65" i="6"/>
  <c r="P66" i="6"/>
  <c r="P69" i="6"/>
  <c r="P75" i="6"/>
  <c r="P79" i="6"/>
  <c r="P80" i="6"/>
  <c r="P81" i="6"/>
  <c r="P86" i="6"/>
  <c r="P87" i="6"/>
  <c r="P93" i="6"/>
  <c r="P99" i="6"/>
  <c r="O289" i="2" l="1"/>
  <c r="N289" i="2"/>
  <c r="O288" i="2"/>
  <c r="N288" i="2"/>
  <c r="O277" i="2"/>
  <c r="N277" i="2"/>
  <c r="O276" i="2"/>
  <c r="N276" i="2"/>
  <c r="O274" i="2"/>
  <c r="N274" i="2"/>
  <c r="O265" i="2"/>
  <c r="N265" i="2"/>
  <c r="O257" i="2"/>
  <c r="N257" i="2"/>
  <c r="O243" i="2"/>
  <c r="N243" i="2"/>
  <c r="O241" i="2"/>
  <c r="N241" i="2"/>
  <c r="O239" i="2"/>
  <c r="N239" i="2"/>
  <c r="O238" i="2"/>
  <c r="N238" i="2"/>
  <c r="O236" i="2"/>
  <c r="N236" i="2"/>
  <c r="O232" i="2"/>
  <c r="N232" i="2"/>
  <c r="O230" i="2"/>
  <c r="N230" i="2"/>
  <c r="O228" i="2"/>
  <c r="N228" i="2"/>
  <c r="O227" i="2"/>
  <c r="N227" i="2"/>
  <c r="O225" i="2"/>
  <c r="N225" i="2"/>
  <c r="O223" i="2"/>
  <c r="N223" i="2"/>
  <c r="P221" i="2"/>
  <c r="O213" i="2"/>
  <c r="N213" i="2"/>
  <c r="O211" i="2"/>
  <c r="N211" i="2"/>
  <c r="O209" i="2"/>
  <c r="N209" i="2"/>
  <c r="O207" i="2"/>
  <c r="N207" i="2"/>
  <c r="O198" i="2" l="1"/>
  <c r="N198" i="2"/>
  <c r="O196" i="2"/>
  <c r="N196" i="2"/>
  <c r="O195" i="2"/>
  <c r="N195" i="2"/>
  <c r="O145" i="2"/>
  <c r="N145" i="2"/>
  <c r="O143" i="2"/>
  <c r="N143" i="2"/>
  <c r="O141" i="2"/>
  <c r="N141" i="2"/>
  <c r="O139" i="2"/>
  <c r="N139" i="2"/>
  <c r="O131" i="2"/>
  <c r="N131" i="2"/>
  <c r="O129" i="2"/>
  <c r="N129" i="2"/>
  <c r="O127" i="2"/>
  <c r="N127" i="2"/>
  <c r="O125" i="2"/>
  <c r="N125" i="2"/>
  <c r="O120" i="2"/>
  <c r="N120" i="2"/>
  <c r="O118" i="2"/>
  <c r="N118" i="2"/>
  <c r="O117" i="2"/>
  <c r="N117" i="2"/>
  <c r="O110" i="2"/>
  <c r="N110" i="2"/>
  <c r="O106" i="2"/>
  <c r="N106" i="2"/>
  <c r="O96" i="2"/>
  <c r="N96" i="2"/>
  <c r="O171" i="1"/>
  <c r="N171" i="1"/>
  <c r="O162" i="1"/>
  <c r="N162" i="1"/>
  <c r="O161" i="1"/>
  <c r="N161" i="1"/>
  <c r="O134" i="1"/>
  <c r="N134" i="1"/>
  <c r="O125" i="1"/>
  <c r="N125" i="1"/>
  <c r="O117" i="1"/>
  <c r="N117" i="1"/>
  <c r="O116" i="1"/>
  <c r="N116" i="1"/>
  <c r="O115" i="1"/>
  <c r="N115" i="1"/>
  <c r="O114" i="1"/>
  <c r="N114" i="1"/>
  <c r="O106" i="1"/>
  <c r="N106" i="1"/>
  <c r="O105" i="1"/>
  <c r="N105" i="1"/>
  <c r="O104" i="1"/>
  <c r="N104" i="1"/>
  <c r="O103" i="1"/>
  <c r="N103" i="1"/>
  <c r="O44" i="1"/>
  <c r="O43" i="1"/>
  <c r="N43" i="1"/>
  <c r="O38" i="1"/>
  <c r="N38" i="1"/>
  <c r="P17" i="2"/>
  <c r="P19" i="2"/>
  <c r="P21" i="2"/>
  <c r="P23" i="2"/>
  <c r="P33" i="2"/>
  <c r="P35" i="2"/>
  <c r="P37" i="2"/>
  <c r="P38" i="2"/>
  <c r="P39" i="2"/>
  <c r="P41" i="2"/>
  <c r="P43" i="2"/>
  <c r="P45" i="2"/>
  <c r="P46" i="2"/>
  <c r="P47" i="2"/>
  <c r="P48" i="2"/>
  <c r="P49" i="2"/>
  <c r="P50" i="2"/>
  <c r="P51" i="2"/>
  <c r="P52" i="2"/>
  <c r="P53" i="2"/>
  <c r="P54" i="2"/>
  <c r="P55" i="2"/>
  <c r="P57" i="2"/>
  <c r="P59" i="2"/>
  <c r="P61" i="2"/>
  <c r="P63" i="2"/>
  <c r="P64" i="2"/>
  <c r="P73" i="2"/>
  <c r="P74" i="2"/>
  <c r="P77" i="2"/>
  <c r="P78" i="2"/>
  <c r="P80" i="2"/>
  <c r="P84" i="2"/>
  <c r="P86" i="2"/>
  <c r="P87" i="2"/>
  <c r="P89" i="2"/>
  <c r="P91" i="2"/>
  <c r="P92" i="2"/>
  <c r="P94" i="2"/>
  <c r="P96" i="2"/>
  <c r="P106" i="2"/>
  <c r="P109" i="2"/>
  <c r="P110" i="2"/>
  <c r="P111" i="2"/>
  <c r="P112" i="2"/>
  <c r="P113" i="2"/>
  <c r="P115" i="2"/>
  <c r="P116" i="2"/>
  <c r="P117" i="2"/>
  <c r="P118" i="2"/>
  <c r="P120" i="2"/>
  <c r="P121" i="2"/>
  <c r="P122" i="2"/>
  <c r="P123" i="2"/>
  <c r="P125" i="2"/>
  <c r="P126" i="2"/>
  <c r="P127" i="2"/>
  <c r="P128" i="2"/>
  <c r="P129" i="2"/>
  <c r="P131" i="2"/>
  <c r="P139" i="2"/>
  <c r="P140" i="2"/>
  <c r="P141" i="2"/>
  <c r="P142" i="2"/>
  <c r="P143" i="2"/>
  <c r="P144" i="2"/>
  <c r="P145" i="2"/>
  <c r="P147" i="2"/>
  <c r="P149" i="2"/>
  <c r="P157" i="2"/>
  <c r="P164" i="2"/>
  <c r="P165" i="2"/>
  <c r="P166" i="2"/>
  <c r="P173" i="2"/>
  <c r="P174" i="2"/>
  <c r="P176" i="2"/>
  <c r="P178" i="2"/>
  <c r="P180" i="2"/>
  <c r="P182" i="2"/>
  <c r="P184" i="2"/>
  <c r="P194" i="2"/>
  <c r="P195" i="2"/>
  <c r="P196" i="2"/>
  <c r="P197" i="2"/>
  <c r="P198" i="2"/>
  <c r="P207" i="2"/>
  <c r="P209" i="2"/>
  <c r="P210" i="2"/>
  <c r="P211" i="2"/>
  <c r="P212" i="2"/>
  <c r="P213" i="2"/>
  <c r="P220" i="2"/>
  <c r="P223" i="2"/>
  <c r="P224" i="2"/>
  <c r="P225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1" i="2"/>
  <c r="P242" i="2"/>
  <c r="P243" i="2"/>
  <c r="P250" i="2"/>
  <c r="P251" i="2"/>
  <c r="P252" i="2"/>
  <c r="P253" i="2"/>
  <c r="P254" i="2"/>
  <c r="P255" i="2"/>
  <c r="P256" i="2"/>
  <c r="P257" i="2"/>
  <c r="P258" i="2"/>
  <c r="P260" i="2"/>
  <c r="P262" i="2"/>
  <c r="P264" i="2"/>
  <c r="P265" i="2"/>
  <c r="P273" i="2"/>
  <c r="P274" i="2"/>
  <c r="P276" i="2"/>
  <c r="P277" i="2"/>
  <c r="P278" i="2"/>
  <c r="P279" i="2"/>
  <c r="P283" i="2"/>
  <c r="P287" i="2"/>
  <c r="P288" i="2"/>
  <c r="P289" i="2"/>
  <c r="P297" i="2"/>
  <c r="P298" i="2"/>
  <c r="P300" i="2"/>
  <c r="P301" i="2"/>
  <c r="P302" i="2"/>
  <c r="P303" i="2"/>
  <c r="P304" i="2"/>
  <c r="P309" i="2"/>
  <c r="M9" i="2"/>
  <c r="M10" i="2"/>
  <c r="M11" i="2"/>
  <c r="M12" i="2"/>
  <c r="M13" i="2"/>
  <c r="M14" i="2"/>
  <c r="M24" i="2"/>
  <c r="M25" i="2"/>
  <c r="M26" i="2"/>
  <c r="M27" i="2"/>
  <c r="M28" i="2"/>
  <c r="M29" i="2"/>
  <c r="M30" i="2"/>
  <c r="M158" i="2"/>
  <c r="M159" i="2"/>
  <c r="M160" i="2"/>
  <c r="M161" i="2"/>
  <c r="M162" i="2"/>
  <c r="M163" i="2"/>
  <c r="M167" i="2"/>
  <c r="M168" i="2"/>
  <c r="M169" i="2"/>
  <c r="M170" i="2"/>
  <c r="M171" i="2"/>
  <c r="N16" i="2"/>
  <c r="O16" i="2"/>
  <c r="P16" i="2" s="1"/>
  <c r="N18" i="2"/>
  <c r="O18" i="2"/>
  <c r="P18" i="2" s="1"/>
  <c r="N20" i="2"/>
  <c r="O20" i="2"/>
  <c r="P20" i="2" s="1"/>
  <c r="N22" i="2"/>
  <c r="N15" i="2" s="1"/>
  <c r="N14" i="2" s="1"/>
  <c r="N13" i="2" s="1"/>
  <c r="N12" i="2" s="1"/>
  <c r="N11" i="2" s="1"/>
  <c r="N10" i="2" s="1"/>
  <c r="N9" i="2" s="1"/>
  <c r="O22" i="2"/>
  <c r="P22" i="2" s="1"/>
  <c r="N31" i="2"/>
  <c r="N30" i="2" s="1"/>
  <c r="N29" i="2" s="1"/>
  <c r="N28" i="2" s="1"/>
  <c r="N27" i="2" s="1"/>
  <c r="N26" i="2" s="1"/>
  <c r="N25" i="2" s="1"/>
  <c r="N24" i="2" s="1"/>
  <c r="O31" i="2"/>
  <c r="O30" i="2" s="1"/>
  <c r="N32" i="2"/>
  <c r="O32" i="2"/>
  <c r="P32" i="2" s="1"/>
  <c r="N34" i="2"/>
  <c r="O34" i="2"/>
  <c r="P34" i="2" s="1"/>
  <c r="N36" i="2"/>
  <c r="O36" i="2"/>
  <c r="P36" i="2" s="1"/>
  <c r="N40" i="2"/>
  <c r="O40" i="2"/>
  <c r="P40" i="2" s="1"/>
  <c r="N42" i="2"/>
  <c r="O42" i="2"/>
  <c r="P42" i="2" s="1"/>
  <c r="N44" i="2"/>
  <c r="O44" i="2"/>
  <c r="P44" i="2" s="1"/>
  <c r="N47" i="2"/>
  <c r="O47" i="2"/>
  <c r="N51" i="2"/>
  <c r="O51" i="2"/>
  <c r="N53" i="2"/>
  <c r="O53" i="2"/>
  <c r="N56" i="2"/>
  <c r="O56" i="2"/>
  <c r="P56" i="2" s="1"/>
  <c r="N58" i="2"/>
  <c r="O58" i="2"/>
  <c r="P58" i="2" s="1"/>
  <c r="N60" i="2"/>
  <c r="O60" i="2"/>
  <c r="P60" i="2" s="1"/>
  <c r="N62" i="2"/>
  <c r="O62" i="2"/>
  <c r="P62" i="2" s="1"/>
  <c r="N72" i="2"/>
  <c r="N71" i="2" s="1"/>
  <c r="N70" i="2" s="1"/>
  <c r="O72" i="2"/>
  <c r="O71" i="2" s="1"/>
  <c r="O70" i="2" s="1"/>
  <c r="P70" i="2" s="1"/>
  <c r="N76" i="2"/>
  <c r="N75" i="2" s="1"/>
  <c r="O77" i="2"/>
  <c r="N77" i="2"/>
  <c r="O76" i="2"/>
  <c r="O75" i="2" s="1"/>
  <c r="P75" i="2" s="1"/>
  <c r="O79" i="2"/>
  <c r="P79" i="2" s="1"/>
  <c r="N79" i="2"/>
  <c r="O83" i="2"/>
  <c r="P83" i="2" s="1"/>
  <c r="O82" i="2"/>
  <c r="O81" i="2" s="1"/>
  <c r="P81" i="2" s="1"/>
  <c r="O85" i="2"/>
  <c r="P85" i="2" s="1"/>
  <c r="N85" i="2"/>
  <c r="O88" i="2"/>
  <c r="P88" i="2" s="1"/>
  <c r="N88" i="2"/>
  <c r="N90" i="2"/>
  <c r="O90" i="2"/>
  <c r="P90" i="2" s="1"/>
  <c r="O95" i="2"/>
  <c r="O94" i="2" s="1"/>
  <c r="O93" i="2" s="1"/>
  <c r="O92" i="2" s="1"/>
  <c r="N95" i="2"/>
  <c r="N94" i="2" s="1"/>
  <c r="N93" i="2" s="1"/>
  <c r="N92" i="2" s="1"/>
  <c r="O105" i="2"/>
  <c r="P105" i="2" s="1"/>
  <c r="O104" i="2"/>
  <c r="O103" i="2" s="1"/>
  <c r="P103" i="2" s="1"/>
  <c r="N108" i="2"/>
  <c r="N107" i="2" s="1"/>
  <c r="O109" i="2"/>
  <c r="N109" i="2"/>
  <c r="O111" i="2"/>
  <c r="N111" i="2"/>
  <c r="N114" i="2"/>
  <c r="O114" i="2"/>
  <c r="P114" i="2" s="1"/>
  <c r="N116" i="2"/>
  <c r="O116" i="2"/>
  <c r="O119" i="2"/>
  <c r="P119" i="2" s="1"/>
  <c r="N119" i="2"/>
  <c r="O121" i="2"/>
  <c r="N121" i="2"/>
  <c r="N124" i="2"/>
  <c r="O124" i="2"/>
  <c r="P124" i="2" s="1"/>
  <c r="N126" i="2"/>
  <c r="O126" i="2"/>
  <c r="O130" i="2"/>
  <c r="P130" i="2" s="1"/>
  <c r="N130" i="2"/>
  <c r="O138" i="2"/>
  <c r="P138" i="2" s="1"/>
  <c r="O140" i="2"/>
  <c r="N140" i="2"/>
  <c r="O142" i="2"/>
  <c r="N142" i="2"/>
  <c r="O144" i="2"/>
  <c r="N144" i="2"/>
  <c r="N146" i="2"/>
  <c r="O146" i="2"/>
  <c r="P146" i="2" s="1"/>
  <c r="N148" i="2"/>
  <c r="O148" i="2"/>
  <c r="P148" i="2" s="1"/>
  <c r="N156" i="2"/>
  <c r="N155" i="2" s="1"/>
  <c r="N154" i="2" s="1"/>
  <c r="N153" i="2" s="1"/>
  <c r="N152" i="2" s="1"/>
  <c r="N151" i="2" s="1"/>
  <c r="N150" i="2" s="1"/>
  <c r="O156" i="2"/>
  <c r="O155" i="2" s="1"/>
  <c r="O154" i="2" s="1"/>
  <c r="O153" i="2" s="1"/>
  <c r="O152" i="2" s="1"/>
  <c r="O151" i="2" s="1"/>
  <c r="O150" i="2" s="1"/>
  <c r="P150" i="2" s="1"/>
  <c r="N164" i="2"/>
  <c r="N163" i="2" s="1"/>
  <c r="N162" i="2" s="1"/>
  <c r="N161" i="2" s="1"/>
  <c r="N160" i="2" s="1"/>
  <c r="N159" i="2" s="1"/>
  <c r="N158" i="2" s="1"/>
  <c r="O164" i="2"/>
  <c r="O163" i="2" s="1"/>
  <c r="N173" i="2"/>
  <c r="O173" i="2"/>
  <c r="N175" i="2"/>
  <c r="O175" i="2"/>
  <c r="P175" i="2" s="1"/>
  <c r="N177" i="2"/>
  <c r="O177" i="2"/>
  <c r="P177" i="2" s="1"/>
  <c r="N179" i="2"/>
  <c r="O179" i="2"/>
  <c r="P179" i="2" s="1"/>
  <c r="N181" i="2"/>
  <c r="O181" i="2"/>
  <c r="P181" i="2" s="1"/>
  <c r="N183" i="2"/>
  <c r="O183" i="2"/>
  <c r="P183" i="2" s="1"/>
  <c r="N193" i="2"/>
  <c r="N197" i="2"/>
  <c r="O197" i="2"/>
  <c r="O206" i="2"/>
  <c r="P206" i="2" s="1"/>
  <c r="N206" i="2"/>
  <c r="O208" i="2"/>
  <c r="P208" i="2" s="1"/>
  <c r="N208" i="2"/>
  <c r="O210" i="2"/>
  <c r="N210" i="2"/>
  <c r="O212" i="2"/>
  <c r="N212" i="2"/>
  <c r="O220" i="2"/>
  <c r="N220" i="2"/>
  <c r="O222" i="2"/>
  <c r="P222" i="2" s="1"/>
  <c r="N222" i="2"/>
  <c r="O224" i="2"/>
  <c r="N224" i="2"/>
  <c r="N226" i="2"/>
  <c r="O226" i="2"/>
  <c r="P226" i="2" s="1"/>
  <c r="N229" i="2"/>
  <c r="O229" i="2"/>
  <c r="N231" i="2"/>
  <c r="O231" i="2"/>
  <c r="N233" i="2"/>
  <c r="O233" i="2"/>
  <c r="N235" i="2"/>
  <c r="O235" i="2"/>
  <c r="N237" i="2"/>
  <c r="O237" i="2"/>
  <c r="O240" i="2"/>
  <c r="P240" i="2" s="1"/>
  <c r="N240" i="2"/>
  <c r="O242" i="2"/>
  <c r="N242" i="2"/>
  <c r="O250" i="2"/>
  <c r="N256" i="2"/>
  <c r="O256" i="2"/>
  <c r="N264" i="2"/>
  <c r="N263" i="2" s="1"/>
  <c r="N262" i="2" s="1"/>
  <c r="N261" i="2" s="1"/>
  <c r="N260" i="2" s="1"/>
  <c r="N259" i="2" s="1"/>
  <c r="N258" i="2" s="1"/>
  <c r="O264" i="2"/>
  <c r="O263" i="2" s="1"/>
  <c r="O262" i="2" s="1"/>
  <c r="O261" i="2" s="1"/>
  <c r="O260" i="2" s="1"/>
  <c r="O259" i="2" s="1"/>
  <c r="O258" i="2" s="1"/>
  <c r="O273" i="2"/>
  <c r="N273" i="2"/>
  <c r="O275" i="2"/>
  <c r="P275" i="2" s="1"/>
  <c r="N275" i="2"/>
  <c r="N272" i="2" s="1"/>
  <c r="N271" i="2" s="1"/>
  <c r="N270" i="2" s="1"/>
  <c r="N269" i="2" s="1"/>
  <c r="N268" i="2" s="1"/>
  <c r="N267" i="2" s="1"/>
  <c r="N266" i="2" s="1"/>
  <c r="O287" i="2"/>
  <c r="O286" i="2" s="1"/>
  <c r="O285" i="2" s="1"/>
  <c r="O284" i="2" s="1"/>
  <c r="O283" i="2" s="1"/>
  <c r="O282" i="2" s="1"/>
  <c r="O281" i="2" s="1"/>
  <c r="O280" i="2" s="1"/>
  <c r="P280" i="2" s="1"/>
  <c r="N287" i="2"/>
  <c r="N286" i="2" s="1"/>
  <c r="N285" i="2" s="1"/>
  <c r="N284" i="2" s="1"/>
  <c r="N283" i="2" s="1"/>
  <c r="N282" i="2" s="1"/>
  <c r="N281" i="2" s="1"/>
  <c r="N280" i="2" s="1"/>
  <c r="O297" i="2"/>
  <c r="N297" i="2"/>
  <c r="O299" i="2"/>
  <c r="P299" i="2" s="1"/>
  <c r="N299" i="2"/>
  <c r="O301" i="2"/>
  <c r="N301" i="2"/>
  <c r="O303" i="2"/>
  <c r="N303" i="2"/>
  <c r="N308" i="2"/>
  <c r="N307" i="2" s="1"/>
  <c r="N306" i="2" s="1"/>
  <c r="N305" i="2" s="1"/>
  <c r="O308" i="2"/>
  <c r="O307" i="2" s="1"/>
  <c r="O306" i="2" s="1"/>
  <c r="O305" i="2" s="1"/>
  <c r="P305" i="2" s="1"/>
  <c r="O162" i="2" l="1"/>
  <c r="P163" i="2"/>
  <c r="P308" i="2"/>
  <c r="P306" i="2"/>
  <c r="O29" i="2"/>
  <c r="P30" i="2"/>
  <c r="P31" i="2"/>
  <c r="P307" i="2"/>
  <c r="N296" i="2"/>
  <c r="N295" i="2" s="1"/>
  <c r="N294" i="2" s="1"/>
  <c r="N293" i="2" s="1"/>
  <c r="N292" i="2" s="1"/>
  <c r="N291" i="2" s="1"/>
  <c r="N290" i="2" s="1"/>
  <c r="P285" i="2"/>
  <c r="P281" i="2"/>
  <c r="P286" i="2"/>
  <c r="P284" i="2"/>
  <c r="P282" i="2"/>
  <c r="P263" i="2"/>
  <c r="P261" i="2"/>
  <c r="P259" i="2"/>
  <c r="P156" i="2"/>
  <c r="P154" i="2"/>
  <c r="P152" i="2"/>
  <c r="P155" i="2"/>
  <c r="P153" i="2"/>
  <c r="P151" i="2"/>
  <c r="P104" i="2"/>
  <c r="P95" i="2"/>
  <c r="P93" i="2"/>
  <c r="P82" i="2"/>
  <c r="P76" i="2"/>
  <c r="P71" i="2"/>
  <c r="P72" i="2"/>
  <c r="O69" i="2"/>
  <c r="O172" i="2"/>
  <c r="N192" i="2"/>
  <c r="N191" i="2" s="1"/>
  <c r="N190" i="2" s="1"/>
  <c r="N189" i="2" s="1"/>
  <c r="N188" i="2" s="1"/>
  <c r="N187" i="2" s="1"/>
  <c r="N186" i="2" s="1"/>
  <c r="N205" i="2"/>
  <c r="N204" i="2" s="1"/>
  <c r="N203" i="2" s="1"/>
  <c r="N202" i="2" s="1"/>
  <c r="N201" i="2" s="1"/>
  <c r="N200" i="2" s="1"/>
  <c r="N219" i="2"/>
  <c r="N218" i="2" s="1"/>
  <c r="N217" i="2" s="1"/>
  <c r="N216" i="2" s="1"/>
  <c r="N215" i="2" s="1"/>
  <c r="N214" i="2" s="1"/>
  <c r="O249" i="2"/>
  <c r="O296" i="2"/>
  <c r="O272" i="2"/>
  <c r="N250" i="2"/>
  <c r="N249" i="2" s="1"/>
  <c r="N248" i="2" s="1"/>
  <c r="N247" i="2" s="1"/>
  <c r="N246" i="2" s="1"/>
  <c r="N245" i="2" s="1"/>
  <c r="N244" i="2" s="1"/>
  <c r="N199" i="2" s="1"/>
  <c r="N185" i="2" s="1"/>
  <c r="O205" i="2"/>
  <c r="O193" i="2"/>
  <c r="O219" i="2"/>
  <c r="N172" i="2"/>
  <c r="N171" i="2" s="1"/>
  <c r="N170" i="2" s="1"/>
  <c r="N169" i="2" s="1"/>
  <c r="N168" i="2" s="1"/>
  <c r="N167" i="2" s="1"/>
  <c r="N138" i="2"/>
  <c r="N137" i="2"/>
  <c r="N136" i="2" s="1"/>
  <c r="N135" i="2" s="1"/>
  <c r="N134" i="2" s="1"/>
  <c r="N133" i="2" s="1"/>
  <c r="N132" i="2" s="1"/>
  <c r="O108" i="2"/>
  <c r="N105" i="2"/>
  <c r="N104" i="2"/>
  <c r="N103" i="2" s="1"/>
  <c r="N102" i="2" s="1"/>
  <c r="N101" i="2" s="1"/>
  <c r="N100" i="2" s="1"/>
  <c r="N99" i="2" s="1"/>
  <c r="N83" i="2"/>
  <c r="N82" i="2"/>
  <c r="N81" i="2" s="1"/>
  <c r="N69" i="2" s="1"/>
  <c r="N68" i="2" s="1"/>
  <c r="N67" i="2" s="1"/>
  <c r="N66" i="2" s="1"/>
  <c r="N65" i="2" s="1"/>
  <c r="O137" i="2"/>
  <c r="O15" i="2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8" i="1"/>
  <c r="P39" i="1"/>
  <c r="P43" i="1"/>
  <c r="P44" i="1"/>
  <c r="P53" i="1"/>
  <c r="P60" i="1"/>
  <c r="P69" i="1"/>
  <c r="P79" i="1"/>
  <c r="P80" i="1"/>
  <c r="P81" i="1"/>
  <c r="P82" i="1"/>
  <c r="P83" i="1"/>
  <c r="P93" i="1"/>
  <c r="P102" i="1"/>
  <c r="P103" i="1"/>
  <c r="P104" i="1"/>
  <c r="P105" i="1"/>
  <c r="P106" i="1"/>
  <c r="P114" i="1"/>
  <c r="P115" i="1"/>
  <c r="P116" i="1"/>
  <c r="P117" i="1"/>
  <c r="P125" i="1"/>
  <c r="P134" i="1"/>
  <c r="P135" i="1"/>
  <c r="P136" i="1"/>
  <c r="P137" i="1"/>
  <c r="P138" i="1"/>
  <c r="P139" i="1"/>
  <c r="P140" i="1"/>
  <c r="P149" i="1"/>
  <c r="P150" i="1"/>
  <c r="P159" i="1"/>
  <c r="P160" i="1"/>
  <c r="P161" i="1"/>
  <c r="P162" i="1"/>
  <c r="P171" i="1"/>
  <c r="P172" i="1"/>
  <c r="P174" i="1"/>
  <c r="P175" i="1"/>
  <c r="P184" i="1"/>
  <c r="P185" i="1"/>
  <c r="N183" i="1"/>
  <c r="N182" i="1" s="1"/>
  <c r="N181" i="1" s="1"/>
  <c r="N180" i="1" s="1"/>
  <c r="N179" i="1" s="1"/>
  <c r="N178" i="1" s="1"/>
  <c r="N177" i="1" s="1"/>
  <c r="N176" i="1" s="1"/>
  <c r="O183" i="1"/>
  <c r="P183" i="1" s="1"/>
  <c r="N173" i="1"/>
  <c r="N172" i="1" s="1"/>
  <c r="N174" i="1"/>
  <c r="O174" i="1"/>
  <c r="O173" i="1" s="1"/>
  <c r="O172" i="1" s="1"/>
  <c r="N170" i="1"/>
  <c r="N169" i="1" s="1"/>
  <c r="N168" i="1" s="1"/>
  <c r="O170" i="1"/>
  <c r="P170" i="1" s="1"/>
  <c r="N158" i="1"/>
  <c r="N157" i="1" s="1"/>
  <c r="N156" i="1" s="1"/>
  <c r="N155" i="1" s="1"/>
  <c r="N154" i="1" s="1"/>
  <c r="N153" i="1" s="1"/>
  <c r="N152" i="1" s="1"/>
  <c r="N151" i="1" s="1"/>
  <c r="O158" i="1"/>
  <c r="P158" i="1" s="1"/>
  <c r="N148" i="1"/>
  <c r="N147" i="1" s="1"/>
  <c r="N146" i="1" s="1"/>
  <c r="N145" i="1" s="1"/>
  <c r="N144" i="1" s="1"/>
  <c r="N143" i="1" s="1"/>
  <c r="N142" i="1" s="1"/>
  <c r="N141" i="1" s="1"/>
  <c r="O148" i="1"/>
  <c r="P148" i="1" s="1"/>
  <c r="N133" i="1"/>
  <c r="N132" i="1" s="1"/>
  <c r="N131" i="1" s="1"/>
  <c r="N130" i="1" s="1"/>
  <c r="N129" i="1" s="1"/>
  <c r="N128" i="1" s="1"/>
  <c r="N127" i="1" s="1"/>
  <c r="N126" i="1" s="1"/>
  <c r="O133" i="1"/>
  <c r="P133" i="1" s="1"/>
  <c r="N124" i="1"/>
  <c r="N123" i="1" s="1"/>
  <c r="N122" i="1" s="1"/>
  <c r="N121" i="1" s="1"/>
  <c r="N120" i="1" s="1"/>
  <c r="N119" i="1" s="1"/>
  <c r="N118" i="1" s="1"/>
  <c r="O124" i="1"/>
  <c r="O123" i="1" s="1"/>
  <c r="O122" i="1" s="1"/>
  <c r="O121" i="1" s="1"/>
  <c r="O120" i="1" s="1"/>
  <c r="O119" i="1" s="1"/>
  <c r="O118" i="1" s="1"/>
  <c r="P118" i="1" s="1"/>
  <c r="N113" i="1"/>
  <c r="N112" i="1" s="1"/>
  <c r="N111" i="1" s="1"/>
  <c r="N110" i="1" s="1"/>
  <c r="N109" i="1" s="1"/>
  <c r="N108" i="1" s="1"/>
  <c r="N107" i="1" s="1"/>
  <c r="O113" i="1"/>
  <c r="O112" i="1" s="1"/>
  <c r="O111" i="1" s="1"/>
  <c r="O110" i="1" s="1"/>
  <c r="O109" i="1" s="1"/>
  <c r="O108" i="1" s="1"/>
  <c r="O107" i="1" s="1"/>
  <c r="P107" i="1" s="1"/>
  <c r="N101" i="1"/>
  <c r="N100" i="1" s="1"/>
  <c r="N99" i="1" s="1"/>
  <c r="N98" i="1" s="1"/>
  <c r="N97" i="1" s="1"/>
  <c r="N96" i="1" s="1"/>
  <c r="N95" i="1" s="1"/>
  <c r="O101" i="1"/>
  <c r="P101" i="1" s="1"/>
  <c r="M90" i="1"/>
  <c r="M91" i="1"/>
  <c r="N92" i="1"/>
  <c r="N91" i="1" s="1"/>
  <c r="N90" i="1" s="1"/>
  <c r="N89" i="1" s="1"/>
  <c r="N88" i="1" s="1"/>
  <c r="N87" i="1" s="1"/>
  <c r="N86" i="1" s="1"/>
  <c r="N85" i="1" s="1"/>
  <c r="O92" i="1"/>
  <c r="P92" i="1" s="1"/>
  <c r="M89" i="1"/>
  <c r="M88" i="1" s="1"/>
  <c r="M87" i="1" s="1"/>
  <c r="M86" i="1" s="1"/>
  <c r="M85" i="1" s="1"/>
  <c r="M92" i="1"/>
  <c r="N78" i="1"/>
  <c r="O78" i="1"/>
  <c r="P78" i="1" s="1"/>
  <c r="N77" i="1"/>
  <c r="N76" i="1" s="1"/>
  <c r="N75" i="1" s="1"/>
  <c r="N74" i="1" s="1"/>
  <c r="N73" i="1" s="1"/>
  <c r="N72" i="1" s="1"/>
  <c r="N71" i="1" s="1"/>
  <c r="N70" i="1" s="1"/>
  <c r="O77" i="1"/>
  <c r="O76" i="1" s="1"/>
  <c r="O75" i="1" s="1"/>
  <c r="O74" i="1" s="1"/>
  <c r="O73" i="1" s="1"/>
  <c r="O72" i="1" s="1"/>
  <c r="O71" i="1" s="1"/>
  <c r="O70" i="1" s="1"/>
  <c r="P70" i="1" s="1"/>
  <c r="N68" i="1"/>
  <c r="N67" i="1" s="1"/>
  <c r="N66" i="1" s="1"/>
  <c r="N65" i="1" s="1"/>
  <c r="N64" i="1" s="1"/>
  <c r="N63" i="1" s="1"/>
  <c r="N62" i="1" s="1"/>
  <c r="N61" i="1" s="1"/>
  <c r="O68" i="1"/>
  <c r="P68" i="1" s="1"/>
  <c r="N59" i="1"/>
  <c r="N58" i="1" s="1"/>
  <c r="N57" i="1" s="1"/>
  <c r="N56" i="1" s="1"/>
  <c r="N55" i="1" s="1"/>
  <c r="N54" i="1" s="1"/>
  <c r="O59" i="1"/>
  <c r="P59" i="1" s="1"/>
  <c r="N52" i="1"/>
  <c r="N51" i="1" s="1"/>
  <c r="N50" i="1" s="1"/>
  <c r="N49" i="1" s="1"/>
  <c r="N48" i="1" s="1"/>
  <c r="N47" i="1" s="1"/>
  <c r="O52" i="1"/>
  <c r="P52" i="1" s="1"/>
  <c r="N42" i="1"/>
  <c r="N41" i="1" s="1"/>
  <c r="N40" i="1" s="1"/>
  <c r="O42" i="1"/>
  <c r="O41" i="1" s="1"/>
  <c r="O40" i="1" s="1"/>
  <c r="P40" i="1" s="1"/>
  <c r="N37" i="1"/>
  <c r="N36" i="1" s="1"/>
  <c r="N35" i="1" s="1"/>
  <c r="O37" i="1"/>
  <c r="P37" i="1" s="1"/>
  <c r="N16" i="1"/>
  <c r="N15" i="1" s="1"/>
  <c r="N14" i="1" s="1"/>
  <c r="N13" i="1" s="1"/>
  <c r="N12" i="1" s="1"/>
  <c r="N11" i="1" s="1"/>
  <c r="N10" i="1" s="1"/>
  <c r="N9" i="1" s="1"/>
  <c r="O16" i="1"/>
  <c r="O15" i="1" s="1"/>
  <c r="O14" i="1" s="1"/>
  <c r="O13" i="1" s="1"/>
  <c r="O12" i="1" s="1"/>
  <c r="O11" i="1" s="1"/>
  <c r="O10" i="1" s="1"/>
  <c r="O9" i="1" s="1"/>
  <c r="P9" i="1" s="1"/>
  <c r="O182" i="1" l="1"/>
  <c r="O161" i="2"/>
  <c r="P162" i="2"/>
  <c r="P15" i="2"/>
  <c r="O14" i="2"/>
  <c r="O51" i="1"/>
  <c r="P16" i="1"/>
  <c r="P12" i="1"/>
  <c r="P14" i="1"/>
  <c r="P10" i="1"/>
  <c r="P15" i="1"/>
  <c r="P13" i="1"/>
  <c r="P11" i="1"/>
  <c r="O28" i="2"/>
  <c r="P29" i="2"/>
  <c r="O295" i="2"/>
  <c r="P296" i="2"/>
  <c r="O271" i="2"/>
  <c r="P272" i="2"/>
  <c r="O248" i="2"/>
  <c r="P249" i="2"/>
  <c r="O218" i="2"/>
  <c r="P219" i="2"/>
  <c r="O204" i="2"/>
  <c r="P205" i="2"/>
  <c r="O192" i="2"/>
  <c r="P193" i="2"/>
  <c r="P172" i="2"/>
  <c r="O171" i="2"/>
  <c r="O136" i="2"/>
  <c r="P137" i="2"/>
  <c r="O107" i="2"/>
  <c r="P108" i="2"/>
  <c r="O68" i="2"/>
  <c r="P69" i="2"/>
  <c r="P173" i="1"/>
  <c r="O169" i="1"/>
  <c r="O157" i="1"/>
  <c r="O147" i="1"/>
  <c r="O132" i="1"/>
  <c r="P77" i="1"/>
  <c r="P73" i="1"/>
  <c r="P75" i="1"/>
  <c r="P71" i="1"/>
  <c r="P76" i="1"/>
  <c r="P74" i="1"/>
  <c r="P72" i="1"/>
  <c r="P123" i="1"/>
  <c r="P121" i="1"/>
  <c r="P119" i="1"/>
  <c r="P124" i="1"/>
  <c r="P122" i="1"/>
  <c r="P120" i="1"/>
  <c r="P112" i="1"/>
  <c r="P110" i="1"/>
  <c r="P108" i="1"/>
  <c r="P113" i="1"/>
  <c r="P111" i="1"/>
  <c r="P109" i="1"/>
  <c r="O100" i="1"/>
  <c r="O91" i="1"/>
  <c r="O67" i="1"/>
  <c r="O58" i="1"/>
  <c r="P42" i="1"/>
  <c r="P41" i="1"/>
  <c r="O36" i="1"/>
  <c r="N98" i="2"/>
  <c r="N97" i="2" s="1"/>
  <c r="N8" i="2" s="1"/>
  <c r="N167" i="1"/>
  <c r="N166" i="1" s="1"/>
  <c r="N165" i="1" s="1"/>
  <c r="N164" i="1" s="1"/>
  <c r="N163" i="1" s="1"/>
  <c r="N94" i="1"/>
  <c r="N84" i="1"/>
  <c r="N46" i="1"/>
  <c r="N45" i="1" s="1"/>
  <c r="N34" i="1"/>
  <c r="N33" i="1" s="1"/>
  <c r="N32" i="1" s="1"/>
  <c r="N31" i="1" s="1"/>
  <c r="N30" i="1" s="1"/>
  <c r="O181" i="1" l="1"/>
  <c r="P182" i="1"/>
  <c r="O160" i="2"/>
  <c r="P161" i="2"/>
  <c r="P14" i="2"/>
  <c r="O13" i="2"/>
  <c r="O50" i="1"/>
  <c r="P51" i="1"/>
  <c r="O27" i="2"/>
  <c r="P28" i="2"/>
  <c r="O294" i="2"/>
  <c r="P295" i="2"/>
  <c r="O270" i="2"/>
  <c r="P271" i="2"/>
  <c r="O247" i="2"/>
  <c r="P248" i="2"/>
  <c r="O217" i="2"/>
  <c r="P218" i="2"/>
  <c r="O203" i="2"/>
  <c r="P204" i="2"/>
  <c r="O191" i="2"/>
  <c r="P192" i="2"/>
  <c r="O170" i="2"/>
  <c r="P171" i="2"/>
  <c r="O135" i="2"/>
  <c r="P136" i="2"/>
  <c r="O102" i="2"/>
  <c r="P107" i="2"/>
  <c r="O67" i="2"/>
  <c r="P68" i="2"/>
  <c r="O168" i="1"/>
  <c r="P169" i="1"/>
  <c r="O156" i="1"/>
  <c r="P157" i="1"/>
  <c r="O146" i="1"/>
  <c r="P147" i="1"/>
  <c r="O131" i="1"/>
  <c r="P132" i="1"/>
  <c r="O99" i="1"/>
  <c r="P100" i="1"/>
  <c r="O90" i="1"/>
  <c r="P91" i="1"/>
  <c r="O66" i="1"/>
  <c r="P67" i="1"/>
  <c r="O57" i="1"/>
  <c r="P58" i="1"/>
  <c r="O35" i="1"/>
  <c r="P36" i="1"/>
  <c r="N8" i="1"/>
  <c r="O180" i="1" l="1"/>
  <c r="P181" i="1"/>
  <c r="O159" i="2"/>
  <c r="P160" i="2"/>
  <c r="O12" i="2"/>
  <c r="P13" i="2"/>
  <c r="O49" i="1"/>
  <c r="P50" i="1"/>
  <c r="O26" i="2"/>
  <c r="P27" i="2"/>
  <c r="O293" i="2"/>
  <c r="P294" i="2"/>
  <c r="O269" i="2"/>
  <c r="P270" i="2"/>
  <c r="O246" i="2"/>
  <c r="P247" i="2"/>
  <c r="O216" i="2"/>
  <c r="P217" i="2"/>
  <c r="O202" i="2"/>
  <c r="P203" i="2"/>
  <c r="O190" i="2"/>
  <c r="P191" i="2"/>
  <c r="O169" i="2"/>
  <c r="P170" i="2"/>
  <c r="O134" i="2"/>
  <c r="P135" i="2"/>
  <c r="O101" i="2"/>
  <c r="P102" i="2"/>
  <c r="O66" i="2"/>
  <c r="P67" i="2"/>
  <c r="P168" i="1"/>
  <c r="O167" i="1"/>
  <c r="O155" i="1"/>
  <c r="P156" i="1"/>
  <c r="O145" i="1"/>
  <c r="P146" i="1"/>
  <c r="O130" i="1"/>
  <c r="P131" i="1"/>
  <c r="O98" i="1"/>
  <c r="P99" i="1"/>
  <c r="O89" i="1"/>
  <c r="P90" i="1"/>
  <c r="O65" i="1"/>
  <c r="P66" i="1"/>
  <c r="O56" i="1"/>
  <c r="P57" i="1"/>
  <c r="P35" i="1"/>
  <c r="O34" i="1"/>
  <c r="M82" i="2"/>
  <c r="M85" i="2"/>
  <c r="M77" i="2"/>
  <c r="M78" i="2"/>
  <c r="O179" i="1" l="1"/>
  <c r="P180" i="1"/>
  <c r="P159" i="2"/>
  <c r="O158" i="2"/>
  <c r="P158" i="2" s="1"/>
  <c r="O11" i="2"/>
  <c r="P12" i="2"/>
  <c r="O48" i="1"/>
  <c r="P49" i="1"/>
  <c r="O25" i="2"/>
  <c r="P26" i="2"/>
  <c r="O292" i="2"/>
  <c r="P293" i="2"/>
  <c r="O268" i="2"/>
  <c r="P269" i="2"/>
  <c r="O245" i="2"/>
  <c r="P246" i="2"/>
  <c r="O215" i="2"/>
  <c r="P216" i="2"/>
  <c r="O201" i="2"/>
  <c r="P202" i="2"/>
  <c r="O189" i="2"/>
  <c r="P190" i="2"/>
  <c r="O168" i="2"/>
  <c r="P169" i="2"/>
  <c r="O133" i="2"/>
  <c r="P134" i="2"/>
  <c r="O100" i="2"/>
  <c r="P101" i="2"/>
  <c r="O65" i="2"/>
  <c r="P66" i="2"/>
  <c r="O166" i="1"/>
  <c r="P167" i="1"/>
  <c r="O154" i="1"/>
  <c r="P155" i="1"/>
  <c r="O144" i="1"/>
  <c r="P145" i="1"/>
  <c r="O129" i="1"/>
  <c r="P130" i="1"/>
  <c r="O97" i="1"/>
  <c r="P98" i="1"/>
  <c r="O88" i="1"/>
  <c r="P89" i="1"/>
  <c r="O64" i="1"/>
  <c r="P65" i="1"/>
  <c r="O55" i="1"/>
  <c r="P56" i="1"/>
  <c r="O33" i="1"/>
  <c r="P34" i="1"/>
  <c r="M185" i="1"/>
  <c r="O178" i="1" l="1"/>
  <c r="P179" i="1"/>
  <c r="P11" i="2"/>
  <c r="O10" i="2"/>
  <c r="O47" i="1"/>
  <c r="P47" i="1" s="1"/>
  <c r="P48" i="1"/>
  <c r="O24" i="2"/>
  <c r="P24" i="2" s="1"/>
  <c r="P25" i="2"/>
  <c r="O291" i="2"/>
  <c r="P292" i="2"/>
  <c r="O267" i="2"/>
  <c r="P268" i="2"/>
  <c r="O244" i="2"/>
  <c r="P244" i="2" s="1"/>
  <c r="P245" i="2"/>
  <c r="O214" i="2"/>
  <c r="P214" i="2" s="1"/>
  <c r="P215" i="2"/>
  <c r="O200" i="2"/>
  <c r="P201" i="2"/>
  <c r="O188" i="2"/>
  <c r="P189" i="2"/>
  <c r="O167" i="2"/>
  <c r="P167" i="2" s="1"/>
  <c r="P168" i="2"/>
  <c r="O132" i="2"/>
  <c r="P132" i="2" s="1"/>
  <c r="P133" i="2"/>
  <c r="O99" i="2"/>
  <c r="P100" i="2"/>
  <c r="P65" i="2"/>
  <c r="O165" i="1"/>
  <c r="P166" i="1"/>
  <c r="O153" i="1"/>
  <c r="P154" i="1"/>
  <c r="O143" i="1"/>
  <c r="P144" i="1"/>
  <c r="O128" i="1"/>
  <c r="P129" i="1"/>
  <c r="O96" i="1"/>
  <c r="P97" i="1"/>
  <c r="O87" i="1"/>
  <c r="P88" i="1"/>
  <c r="O63" i="1"/>
  <c r="P64" i="1"/>
  <c r="O54" i="1"/>
  <c r="P55" i="1"/>
  <c r="O32" i="1"/>
  <c r="P33" i="1"/>
  <c r="M277" i="2"/>
  <c r="M276" i="2"/>
  <c r="O177" i="1" l="1"/>
  <c r="P178" i="1"/>
  <c r="P10" i="2"/>
  <c r="O9" i="2"/>
  <c r="P9" i="2" s="1"/>
  <c r="O290" i="2"/>
  <c r="P290" i="2" s="1"/>
  <c r="P291" i="2"/>
  <c r="O266" i="2"/>
  <c r="P266" i="2" s="1"/>
  <c r="P267" i="2"/>
  <c r="P200" i="2"/>
  <c r="O199" i="2"/>
  <c r="P199" i="2" s="1"/>
  <c r="O187" i="2"/>
  <c r="P188" i="2"/>
  <c r="P99" i="2"/>
  <c r="O98" i="2"/>
  <c r="O164" i="1"/>
  <c r="P165" i="1"/>
  <c r="O152" i="1"/>
  <c r="P153" i="1"/>
  <c r="O142" i="1"/>
  <c r="P143" i="1"/>
  <c r="O127" i="1"/>
  <c r="P128" i="1"/>
  <c r="O95" i="1"/>
  <c r="P96" i="1"/>
  <c r="O86" i="1"/>
  <c r="P87" i="1"/>
  <c r="O62" i="1"/>
  <c r="P63" i="1"/>
  <c r="P54" i="1"/>
  <c r="O46" i="1"/>
  <c r="O31" i="1"/>
  <c r="P32" i="1"/>
  <c r="M289" i="2"/>
  <c r="M288" i="2"/>
  <c r="M98" i="6"/>
  <c r="M96" i="6" s="1"/>
  <c r="O98" i="6"/>
  <c r="O95" i="6" s="1"/>
  <c r="N98" i="6"/>
  <c r="N97" i="6" s="1"/>
  <c r="O97" i="6"/>
  <c r="P97" i="6" s="1"/>
  <c r="M97" i="6"/>
  <c r="O96" i="6"/>
  <c r="O92" i="6"/>
  <c r="N92" i="6"/>
  <c r="M92" i="6"/>
  <c r="M91" i="6" s="1"/>
  <c r="N91" i="6"/>
  <c r="O90" i="6"/>
  <c r="P90" i="6" s="1"/>
  <c r="N90" i="6"/>
  <c r="M90" i="6"/>
  <c r="N89" i="6"/>
  <c r="N88" i="6" s="1"/>
  <c r="M87" i="6"/>
  <c r="O86" i="6"/>
  <c r="N86" i="6"/>
  <c r="O85" i="6"/>
  <c r="N85" i="6"/>
  <c r="M85" i="6"/>
  <c r="N84" i="6"/>
  <c r="N83" i="6" s="1"/>
  <c r="N82" i="6" s="1"/>
  <c r="M84" i="6"/>
  <c r="O78" i="6"/>
  <c r="P78" i="6" s="1"/>
  <c r="N78" i="6"/>
  <c r="M78" i="6"/>
  <c r="M81" i="6" s="1"/>
  <c r="O77" i="6"/>
  <c r="P77" i="6" s="1"/>
  <c r="N77" i="6"/>
  <c r="M75" i="6"/>
  <c r="O74" i="6"/>
  <c r="N74" i="6"/>
  <c r="O73" i="6"/>
  <c r="N73" i="6"/>
  <c r="M73" i="6"/>
  <c r="M69" i="6"/>
  <c r="P67" i="6"/>
  <c r="O60" i="6"/>
  <c r="P60" i="6" s="1"/>
  <c r="N60" i="6"/>
  <c r="M60" i="6"/>
  <c r="O55" i="6"/>
  <c r="P55" i="6" s="1"/>
  <c r="N55" i="6"/>
  <c r="M55" i="6"/>
  <c r="O50" i="6"/>
  <c r="P50" i="6" s="1"/>
  <c r="N50" i="6"/>
  <c r="M50" i="6"/>
  <c r="O48" i="6"/>
  <c r="P48" i="6" s="1"/>
  <c r="N48" i="6"/>
  <c r="M48" i="6"/>
  <c r="O40" i="6"/>
  <c r="P40" i="6" s="1"/>
  <c r="N40" i="6"/>
  <c r="M40" i="6"/>
  <c r="O29" i="6"/>
  <c r="P29" i="6" s="1"/>
  <c r="N29" i="6"/>
  <c r="M29" i="6"/>
  <c r="O25" i="6"/>
  <c r="N25" i="6"/>
  <c r="N17" i="6" s="1"/>
  <c r="N16" i="6" s="1"/>
  <c r="N15" i="6" s="1"/>
  <c r="N14" i="6" s="1"/>
  <c r="M25" i="6"/>
  <c r="P19" i="6"/>
  <c r="M19" i="6"/>
  <c r="M15" i="6"/>
  <c r="M14" i="6" s="1"/>
  <c r="P73" i="6" l="1"/>
  <c r="P71" i="6"/>
  <c r="P76" i="6"/>
  <c r="M95" i="6"/>
  <c r="M94" i="6" s="1"/>
  <c r="P96" i="6"/>
  <c r="P98" i="6"/>
  <c r="P25" i="6"/>
  <c r="O17" i="6"/>
  <c r="O94" i="6"/>
  <c r="P94" i="6" s="1"/>
  <c r="P95" i="6"/>
  <c r="O91" i="6"/>
  <c r="P91" i="6" s="1"/>
  <c r="P92" i="6"/>
  <c r="O84" i="6"/>
  <c r="O83" i="6" s="1"/>
  <c r="O82" i="6" s="1"/>
  <c r="P85" i="6"/>
  <c r="P72" i="6"/>
  <c r="P74" i="6"/>
  <c r="O176" i="1"/>
  <c r="P176" i="1" s="1"/>
  <c r="P177" i="1"/>
  <c r="O186" i="2"/>
  <c r="P187" i="2"/>
  <c r="O97" i="2"/>
  <c r="P98" i="2"/>
  <c r="O163" i="1"/>
  <c r="P163" i="1" s="1"/>
  <c r="P164" i="1"/>
  <c r="O151" i="1"/>
  <c r="P151" i="1" s="1"/>
  <c r="P152" i="1"/>
  <c r="O141" i="1"/>
  <c r="P141" i="1" s="1"/>
  <c r="P142" i="1"/>
  <c r="O126" i="1"/>
  <c r="P126" i="1" s="1"/>
  <c r="P127" i="1"/>
  <c r="P95" i="1"/>
  <c r="O94" i="1"/>
  <c r="P94" i="1" s="1"/>
  <c r="O85" i="1"/>
  <c r="P86" i="1"/>
  <c r="O61" i="1"/>
  <c r="P61" i="1" s="1"/>
  <c r="P62" i="1"/>
  <c r="O45" i="1"/>
  <c r="P45" i="1" s="1"/>
  <c r="P46" i="1"/>
  <c r="O30" i="1"/>
  <c r="P31" i="1"/>
  <c r="N68" i="6"/>
  <c r="N96" i="6"/>
  <c r="M89" i="6"/>
  <c r="M88" i="6" s="1"/>
  <c r="M13" i="6" s="1"/>
  <c r="M12" i="6" s="1"/>
  <c r="M11" i="6" s="1"/>
  <c r="M10" i="6" s="1"/>
  <c r="M9" i="6" s="1"/>
  <c r="M8" i="6" s="1"/>
  <c r="O89" i="6"/>
  <c r="N95" i="6"/>
  <c r="N94" i="6" s="1"/>
  <c r="M171" i="1"/>
  <c r="M300" i="2"/>
  <c r="M298" i="2"/>
  <c r="M141" i="2"/>
  <c r="M145" i="2"/>
  <c r="M147" i="2"/>
  <c r="M139" i="2"/>
  <c r="M265" i="2"/>
  <c r="M125" i="1"/>
  <c r="M255" i="2"/>
  <c r="M254" i="2"/>
  <c r="M253" i="2"/>
  <c r="M252" i="2"/>
  <c r="M250" i="2" s="1"/>
  <c r="M257" i="2"/>
  <c r="M117" i="1"/>
  <c r="M116" i="1"/>
  <c r="M115" i="1"/>
  <c r="M194" i="2"/>
  <c r="M96" i="2"/>
  <c r="M114" i="1"/>
  <c r="M106" i="1"/>
  <c r="M105" i="1"/>
  <c r="M104" i="1"/>
  <c r="M103" i="1"/>
  <c r="M102" i="1"/>
  <c r="M225" i="2"/>
  <c r="M230" i="2"/>
  <c r="M234" i="2"/>
  <c r="M238" i="2"/>
  <c r="M241" i="2"/>
  <c r="M223" i="2"/>
  <c r="M221" i="2"/>
  <c r="M243" i="2"/>
  <c r="M236" i="2"/>
  <c r="M211" i="2"/>
  <c r="M207" i="2"/>
  <c r="M195" i="2"/>
  <c r="M198" i="2"/>
  <c r="M80" i="2"/>
  <c r="M76" i="2" s="1"/>
  <c r="M60" i="1"/>
  <c r="M43" i="1"/>
  <c r="M38" i="1"/>
  <c r="M138" i="1"/>
  <c r="M136" i="1"/>
  <c r="N13" i="6" l="1"/>
  <c r="N12" i="6" s="1"/>
  <c r="N11" i="6" s="1"/>
  <c r="N10" i="6" s="1"/>
  <c r="N9" i="6" s="1"/>
  <c r="N8" i="6" s="1"/>
  <c r="O16" i="6"/>
  <c r="P17" i="6"/>
  <c r="O88" i="6"/>
  <c r="P88" i="6" s="1"/>
  <c r="P89" i="6"/>
  <c r="P84" i="6"/>
  <c r="O68" i="6"/>
  <c r="P68" i="6" s="1"/>
  <c r="P70" i="6"/>
  <c r="P186" i="2"/>
  <c r="O185" i="2"/>
  <c r="P185" i="2" s="1"/>
  <c r="P97" i="2"/>
  <c r="O8" i="2"/>
  <c r="P8" i="2" s="1"/>
  <c r="P85" i="1"/>
  <c r="O84" i="1"/>
  <c r="P84" i="1" s="1"/>
  <c r="P30" i="1"/>
  <c r="O15" i="6" l="1"/>
  <c r="P16" i="6"/>
  <c r="P83" i="6"/>
  <c r="O8" i="1"/>
  <c r="P8" i="1" s="1"/>
  <c r="M232" i="2"/>
  <c r="M196" i="2"/>
  <c r="M149" i="2"/>
  <c r="M143" i="2"/>
  <c r="M129" i="2"/>
  <c r="M123" i="2"/>
  <c r="M122" i="2"/>
  <c r="M127" i="2"/>
  <c r="M125" i="2"/>
  <c r="M120" i="2"/>
  <c r="M118" i="2"/>
  <c r="M115" i="2"/>
  <c r="M106" i="2"/>
  <c r="M104" i="2" s="1"/>
  <c r="M103" i="2" s="1"/>
  <c r="M113" i="2"/>
  <c r="M112" i="2"/>
  <c r="M110" i="2"/>
  <c r="M87" i="2"/>
  <c r="M89" i="2"/>
  <c r="M84" i="2"/>
  <c r="M304" i="2"/>
  <c r="M157" i="2"/>
  <c r="M95" i="2"/>
  <c r="M94" i="2" s="1"/>
  <c r="M93" i="2" s="1"/>
  <c r="M92" i="2" s="1"/>
  <c r="M52" i="1"/>
  <c r="M51" i="1" s="1"/>
  <c r="M50" i="1" s="1"/>
  <c r="M49" i="1" s="1"/>
  <c r="M48" i="1" s="1"/>
  <c r="M47" i="1" s="1"/>
  <c r="M135" i="1"/>
  <c r="M82" i="1"/>
  <c r="M81" i="1"/>
  <c r="M80" i="1"/>
  <c r="M162" i="1"/>
  <c r="M159" i="1"/>
  <c r="M150" i="1"/>
  <c r="M149" i="1"/>
  <c r="M69" i="1"/>
  <c r="M39" i="1"/>
  <c r="M44" i="1"/>
  <c r="O14" i="6" l="1"/>
  <c r="P15" i="6"/>
  <c r="P82" i="6"/>
  <c r="M148" i="1"/>
  <c r="M147" i="1" s="1"/>
  <c r="M146" i="1" s="1"/>
  <c r="M145" i="1" s="1"/>
  <c r="M144" i="1" s="1"/>
  <c r="M143" i="1" s="1"/>
  <c r="M142" i="1" s="1"/>
  <c r="M141" i="1" s="1"/>
  <c r="P14" i="6" l="1"/>
  <c r="O13" i="6"/>
  <c r="O12" i="6" s="1"/>
  <c r="O11" i="6" s="1"/>
  <c r="O10" i="6" s="1"/>
  <c r="O9" i="6" s="1"/>
  <c r="O8" i="6" s="1"/>
  <c r="M302" i="2"/>
  <c r="P13" i="6" l="1"/>
  <c r="P12" i="6"/>
  <c r="M213" i="2"/>
  <c r="M209" i="2"/>
  <c r="P11" i="6" l="1"/>
  <c r="M29" i="1"/>
  <c r="P10" i="6" l="1"/>
  <c r="M137" i="1"/>
  <c r="M134" i="1"/>
  <c r="P8" i="6" l="1"/>
  <c r="P9" i="6"/>
  <c r="M133" i="1"/>
  <c r="M275" i="2"/>
  <c r="M90" i="2" l="1"/>
  <c r="M88" i="2"/>
  <c r="M83" i="2" l="1"/>
  <c r="M31" i="2" l="1"/>
  <c r="M62" i="2"/>
  <c r="M58" i="2"/>
  <c r="M56" i="2"/>
  <c r="M60" i="2"/>
  <c r="M53" i="2"/>
  <c r="M47" i="2"/>
  <c r="M36" i="2"/>
  <c r="M113" i="1" l="1"/>
  <c r="M101" i="1"/>
  <c r="M224" i="2" l="1"/>
  <c r="M17" i="1" l="1"/>
  <c r="M175" i="1" l="1"/>
  <c r="M174" i="1" s="1"/>
  <c r="M173" i="1" s="1"/>
  <c r="M172" i="1" s="1"/>
  <c r="M161" i="1"/>
  <c r="M235" i="2"/>
  <c r="M239" i="2"/>
  <c r="M229" i="2"/>
  <c r="M228" i="2"/>
  <c r="M146" i="2"/>
  <c r="M140" i="2"/>
  <c r="M121" i="2"/>
  <c r="M109" i="2"/>
  <c r="M137" i="2" l="1"/>
  <c r="M136" i="2" s="1"/>
  <c r="M135" i="2" s="1"/>
  <c r="M134" i="2" s="1"/>
  <c r="M133" i="2" s="1"/>
  <c r="M132" i="2" s="1"/>
  <c r="M111" i="2"/>
  <c r="M131" i="2"/>
  <c r="M117" i="2"/>
  <c r="M108" i="2" l="1"/>
  <c r="M107" i="2" s="1"/>
  <c r="M126" i="2"/>
  <c r="M18" i="1"/>
  <c r="M16" i="1" l="1"/>
  <c r="M15" i="1" s="1"/>
  <c r="M14" i="1" s="1"/>
  <c r="M13" i="1" s="1"/>
  <c r="M12" i="1" s="1"/>
  <c r="M11" i="1" s="1"/>
  <c r="M10" i="1" s="1"/>
  <c r="M9" i="1" s="1"/>
  <c r="M183" i="1"/>
  <c r="M182" i="1" s="1"/>
  <c r="M181" i="1" s="1"/>
  <c r="M180" i="1" s="1"/>
  <c r="M179" i="1" s="1"/>
  <c r="M178" i="1" s="1"/>
  <c r="M177" i="1" s="1"/>
  <c r="M176" i="1" s="1"/>
  <c r="D96" i="5" l="1"/>
  <c r="D97" i="5"/>
  <c r="D99" i="5"/>
  <c r="D100" i="5"/>
  <c r="D101" i="5"/>
  <c r="D102" i="5"/>
  <c r="D103" i="5"/>
  <c r="D104" i="5"/>
  <c r="D105" i="5"/>
  <c r="D106" i="5"/>
  <c r="C107" i="5"/>
  <c r="B107" i="5"/>
  <c r="D98" i="5"/>
  <c r="D94" i="5"/>
  <c r="D95" i="5"/>
  <c r="D93" i="5"/>
  <c r="D92" i="5"/>
  <c r="D91" i="5"/>
  <c r="C84" i="5"/>
  <c r="B84" i="5"/>
  <c r="D107" i="5" l="1"/>
  <c r="D80" i="5"/>
  <c r="D83" i="5"/>
  <c r="D82" i="5"/>
  <c r="D81" i="5"/>
  <c r="C70" i="5"/>
  <c r="C75" i="5" s="1"/>
  <c r="B75" i="5"/>
  <c r="D73" i="5"/>
  <c r="D67" i="5"/>
  <c r="D63" i="5"/>
  <c r="D64" i="5"/>
  <c r="D74" i="5"/>
  <c r="D65" i="5"/>
  <c r="D66" i="5"/>
  <c r="D68" i="5"/>
  <c r="D69" i="5"/>
  <c r="D71" i="5"/>
  <c r="D72" i="5"/>
  <c r="D58" i="5"/>
  <c r="B58" i="5" s="1"/>
  <c r="D57" i="5"/>
  <c r="C57" i="5"/>
  <c r="D56" i="5"/>
  <c r="D55" i="5"/>
  <c r="B55" i="5" s="1"/>
  <c r="D54" i="5"/>
  <c r="C54" i="5"/>
  <c r="D53" i="5"/>
  <c r="C53" i="5"/>
  <c r="B56" i="5"/>
  <c r="C46" i="5"/>
  <c r="B44" i="5"/>
  <c r="B45" i="5"/>
  <c r="D43" i="5"/>
  <c r="B43" i="5" s="1"/>
  <c r="D42" i="5"/>
  <c r="B42" i="5" s="1"/>
  <c r="D41" i="5"/>
  <c r="D40" i="5"/>
  <c r="B40" i="5" s="1"/>
  <c r="D34" i="5"/>
  <c r="D33" i="5"/>
  <c r="C59" i="5" l="1"/>
  <c r="D84" i="5"/>
  <c r="D46" i="5"/>
  <c r="B53" i="5"/>
  <c r="D70" i="5"/>
  <c r="D75" i="5" s="1"/>
  <c r="B57" i="5"/>
  <c r="B54" i="5"/>
  <c r="D59" i="5"/>
  <c r="B41" i="5"/>
  <c r="B46" i="5" s="1"/>
  <c r="C35" i="5"/>
  <c r="B35" i="5"/>
  <c r="D35" i="5"/>
  <c r="C29" i="5"/>
  <c r="D28" i="5"/>
  <c r="B28" i="5" s="1"/>
  <c r="D27" i="5"/>
  <c r="B27" i="5" s="1"/>
  <c r="D26" i="5"/>
  <c r="B26" i="5" s="1"/>
  <c r="D25" i="5"/>
  <c r="B25" i="5" s="1"/>
  <c r="D24" i="5"/>
  <c r="C18" i="5"/>
  <c r="B18" i="5"/>
  <c r="D15" i="5"/>
  <c r="D18" i="5" s="1"/>
  <c r="D11" i="5"/>
  <c r="C11" i="5"/>
  <c r="B5" i="5"/>
  <c r="B6" i="5"/>
  <c r="B7" i="5"/>
  <c r="B8" i="5"/>
  <c r="B9" i="5"/>
  <c r="B10" i="5"/>
  <c r="B4" i="5"/>
  <c r="B59" i="5" l="1"/>
  <c r="D29" i="5"/>
  <c r="B24" i="5"/>
  <c r="B29" i="5" s="1"/>
  <c r="B11" i="5"/>
  <c r="M72" i="2"/>
  <c r="M71" i="2" s="1"/>
  <c r="M81" i="2" l="1"/>
  <c r="M287" i="2" l="1"/>
  <c r="M210" i="2"/>
  <c r="M158" i="1" l="1"/>
  <c r="M37" i="1"/>
  <c r="M68" i="1" l="1"/>
  <c r="M67" i="1" s="1"/>
  <c r="M66" i="1" s="1"/>
  <c r="M65" i="1" s="1"/>
  <c r="M36" i="1"/>
  <c r="M35" i="1" s="1"/>
  <c r="M64" i="1" l="1"/>
  <c r="M63" i="1" s="1"/>
  <c r="M62" i="1" s="1"/>
  <c r="M61" i="1" s="1"/>
  <c r="M274" i="2" l="1"/>
  <c r="M83" i="1" l="1"/>
  <c r="M308" i="2" l="1"/>
  <c r="M307" i="2" s="1"/>
  <c r="M306" i="2" s="1"/>
  <c r="M305" i="2" s="1"/>
  <c r="M303" i="2"/>
  <c r="M299" i="2"/>
  <c r="M297" i="2"/>
  <c r="M301" i="2"/>
  <c r="M170" i="1"/>
  <c r="M169" i="1" s="1"/>
  <c r="M168" i="1" s="1"/>
  <c r="M157" i="1"/>
  <c r="M156" i="1" s="1"/>
  <c r="M155" i="1" s="1"/>
  <c r="M154" i="1" s="1"/>
  <c r="M153" i="1" s="1"/>
  <c r="M152" i="1" s="1"/>
  <c r="M151" i="1" s="1"/>
  <c r="M296" i="2" l="1"/>
  <c r="M167" i="1"/>
  <c r="M166" i="1" s="1"/>
  <c r="M165" i="1" s="1"/>
  <c r="M164" i="1" s="1"/>
  <c r="M163" i="1" s="1"/>
  <c r="M212" i="2"/>
  <c r="M256" i="2"/>
  <c r="M119" i="2"/>
  <c r="M79" i="1"/>
  <c r="M102" i="2" l="1"/>
  <c r="M227" i="2" l="1"/>
  <c r="M226" i="2" s="1"/>
  <c r="M208" i="2" l="1"/>
  <c r="M132" i="1" l="1"/>
  <c r="M131" i="1" s="1"/>
  <c r="M130" i="1" s="1"/>
  <c r="M129" i="1" s="1"/>
  <c r="M128" i="1" s="1"/>
  <c r="M127" i="1" s="1"/>
  <c r="M126" i="1" s="1"/>
  <c r="M78" i="1" l="1"/>
  <c r="M42" i="1" l="1"/>
  <c r="M41" i="1" s="1"/>
  <c r="M40" i="1" s="1"/>
  <c r="M286" i="2"/>
  <c r="M285" i="2" s="1"/>
  <c r="M284" i="2" s="1"/>
  <c r="M283" i="2" s="1"/>
  <c r="M282" i="2" s="1"/>
  <c r="M281" i="2" s="1"/>
  <c r="M59" i="1"/>
  <c r="M58" i="1" s="1"/>
  <c r="M57" i="1" s="1"/>
  <c r="M56" i="1" s="1"/>
  <c r="M55" i="1" s="1"/>
  <c r="M54" i="1" s="1"/>
  <c r="M34" i="1" l="1"/>
  <c r="M33" i="1" s="1"/>
  <c r="M32" i="1" s="1"/>
  <c r="M31" i="1" s="1"/>
  <c r="M30" i="1" s="1"/>
  <c r="M280" i="2"/>
  <c r="M46" i="1"/>
  <c r="M45" i="1" s="1"/>
  <c r="M264" i="2" l="1"/>
  <c r="M263" i="2" s="1"/>
  <c r="M262" i="2" s="1"/>
  <c r="M261" i="2" s="1"/>
  <c r="M260" i="2" s="1"/>
  <c r="M259" i="2" s="1"/>
  <c r="M258" i="2" s="1"/>
  <c r="M242" i="2"/>
  <c r="M240" i="2"/>
  <c r="M233" i="2"/>
  <c r="M231" i="2"/>
  <c r="M222" i="2"/>
  <c r="M220" i="2"/>
  <c r="M124" i="1"/>
  <c r="M123" i="1" s="1"/>
  <c r="M122" i="1" s="1"/>
  <c r="M121" i="1" s="1"/>
  <c r="M120" i="1" s="1"/>
  <c r="M119" i="1" s="1"/>
  <c r="M118" i="1" s="1"/>
  <c r="M112" i="1"/>
  <c r="M111" i="1" s="1"/>
  <c r="M110" i="1" s="1"/>
  <c r="M109" i="1" s="1"/>
  <c r="M108" i="1" s="1"/>
  <c r="M107" i="1" s="1"/>
  <c r="M100" i="1"/>
  <c r="M99" i="1" s="1"/>
  <c r="M98" i="1" s="1"/>
  <c r="M97" i="1" s="1"/>
  <c r="M96" i="1" s="1"/>
  <c r="M95" i="1" s="1"/>
  <c r="M94" i="1" l="1"/>
  <c r="M84" i="1" s="1"/>
  <c r="M273" i="2" l="1"/>
  <c r="M272" i="2" s="1"/>
  <c r="M197" i="2"/>
  <c r="M183" i="2"/>
  <c r="M181" i="2"/>
  <c r="M179" i="2"/>
  <c r="M177" i="2"/>
  <c r="M175" i="2"/>
  <c r="M193" i="2" s="1"/>
  <c r="M173" i="2"/>
  <c r="M164" i="2"/>
  <c r="M156" i="2"/>
  <c r="M155" i="2" s="1"/>
  <c r="M154" i="2" s="1"/>
  <c r="M153" i="2" s="1"/>
  <c r="M152" i="2" s="1"/>
  <c r="M151" i="2" s="1"/>
  <c r="M150" i="2" s="1"/>
  <c r="M148" i="2"/>
  <c r="M144" i="2"/>
  <c r="M142" i="2"/>
  <c r="M138" i="2"/>
  <c r="M130" i="2"/>
  <c r="M124" i="2"/>
  <c r="M114" i="2"/>
  <c r="M206" i="2"/>
  <c r="M205" i="2" s="1"/>
  <c r="M105" i="2"/>
  <c r="M116" i="2"/>
  <c r="M79" i="2"/>
  <c r="M75" i="2" s="1"/>
  <c r="M32" i="2"/>
  <c r="M51" i="2"/>
  <c r="M42" i="2"/>
  <c r="M40" i="2"/>
  <c r="M34" i="2"/>
  <c r="M44" i="2"/>
  <c r="M16" i="2"/>
  <c r="M20" i="2"/>
  <c r="M18" i="2"/>
  <c r="M22" i="2"/>
  <c r="M77" i="1"/>
  <c r="M76" i="1" s="1"/>
  <c r="M75" i="1" s="1"/>
  <c r="M74" i="1" s="1"/>
  <c r="M73" i="1" s="1"/>
  <c r="M72" i="1" s="1"/>
  <c r="M71" i="1" s="1"/>
  <c r="M192" i="2" l="1"/>
  <c r="M15" i="2"/>
  <c r="M237" i="2"/>
  <c r="M219" i="2" s="1"/>
  <c r="M172" i="2"/>
  <c r="M271" i="2"/>
  <c r="M270" i="2" s="1"/>
  <c r="M269" i="2" s="1"/>
  <c r="M268" i="2" s="1"/>
  <c r="M267" i="2" s="1"/>
  <c r="M266" i="2" s="1"/>
  <c r="M204" i="2"/>
  <c r="M203" i="2" s="1"/>
  <c r="M202" i="2" s="1"/>
  <c r="M201" i="2" s="1"/>
  <c r="M200" i="2" s="1"/>
  <c r="M101" i="2"/>
  <c r="M100" i="2" s="1"/>
  <c r="M99" i="2" s="1"/>
  <c r="M98" i="2" s="1"/>
  <c r="M70" i="2"/>
  <c r="M69" i="2" s="1"/>
  <c r="M68" i="2" s="1"/>
  <c r="M70" i="1"/>
  <c r="M8" i="1" s="1"/>
  <c r="M97" i="2" l="1"/>
  <c r="M218" i="2"/>
  <c r="M217" i="2" s="1"/>
  <c r="M216" i="2" s="1"/>
  <c r="M215" i="2" s="1"/>
  <c r="M214" i="2" s="1"/>
  <c r="M67" i="2"/>
  <c r="M66" i="2" s="1"/>
  <c r="M65" i="2" s="1"/>
  <c r="M191" i="2"/>
  <c r="M190" i="2" s="1"/>
  <c r="M189" i="2" s="1"/>
  <c r="M188" i="2" s="1"/>
  <c r="M187" i="2" s="1"/>
  <c r="M186" i="2" s="1"/>
  <c r="M295" i="2" l="1"/>
  <c r="M294" i="2" s="1"/>
  <c r="M293" i="2" l="1"/>
  <c r="M292" i="2" s="1"/>
  <c r="M291" i="2" s="1"/>
  <c r="M290" i="2" s="1"/>
  <c r="M249" i="2"/>
  <c r="M248" i="2" s="1"/>
  <c r="M247" i="2" s="1"/>
  <c r="M246" i="2" s="1"/>
  <c r="M245" i="2" s="1"/>
  <c r="M244" i="2" s="1"/>
  <c r="M199" i="2" l="1"/>
  <c r="M185" i="2" l="1"/>
  <c r="M8" i="2" s="1"/>
</calcChain>
</file>

<file path=xl/sharedStrings.xml><?xml version="1.0" encoding="utf-8"?>
<sst xmlns="http://schemas.openxmlformats.org/spreadsheetml/2006/main" count="6208" uniqueCount="538">
  <si>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</si>
  <si>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</si>
  <si>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</si>
  <si>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</si>
  <si>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</si>
  <si>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</si>
  <si>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</si>
  <si>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</si>
  <si>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</si>
  <si>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</si>
  <si>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</si>
  <si>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</si>
  <si>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</si>
  <si>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</si>
  <si>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</si>
  <si>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</si>
  <si>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</si>
  <si>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</si>
  <si>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</si>
  <si>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</si>
  <si>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</si>
  <si>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</si>
  <si>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</si>
  <si>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</si>
  <si>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</si>
  <si>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</si>
  <si>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Развитие топливно-энергетического комплекса и жилищно-коммунального хозяйства Брянской области (2014 - 2020 годы)</t>
  </si>
  <si>
    <t>Содействие реформированию жилищно-коммунального хозяйства, создание благоприятных условий проживания граждан</t>
  </si>
  <si>
    <t>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</si>
  <si>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</si>
  <si>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</si>
  <si>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Жилищно-коммунальное хозяйство</t>
  </si>
  <si>
    <t>05</t>
  </si>
  <si>
    <t>Коммунальное хозяйство</t>
  </si>
  <si>
    <t>02</t>
  </si>
  <si>
    <t>Бюджетные инвестиции в объекты капитальных вложений государственной собственности</t>
  </si>
  <si>
    <t>11260</t>
  </si>
  <si>
    <t>466</t>
  </si>
  <si>
    <t>Реконструкция котельной по ул. Бурова, 2б в Бежицком районе г.Брянска</t>
  </si>
  <si>
    <t>МВт/км</t>
  </si>
  <si>
    <t>Реконструкция котельной по ул. Ново-Советская, 103а с целью переключения потребителей от котельной по ул. Нахимова, 124 в Бежицком районе г. Брянска</t>
  </si>
  <si>
    <t>МВт</t>
  </si>
  <si>
    <t>Техническое перевооружение котельной по ул. Бежицкая, 315А в Бежицком районе г. Брянска</t>
  </si>
  <si>
    <t>4/0,7</t>
  </si>
  <si>
    <t>Реконструкция бойлерной по ул. Донбасская, 53а в Бежицком районе г.Брянска</t>
  </si>
  <si>
    <t>Реконструкция котельной по пр-ту Станке Димитрова, 42 в Советском районе г. Брянска</t>
  </si>
  <si>
    <t>Реконструкция котельной по пр-ту Ст. Димитрова, 73 в Советском районе г. Брянска</t>
  </si>
  <si>
    <t>Техническое перевооружение котельной по пер. О. Кошевого, 41 в Фокинском районе г. Брянска</t>
  </si>
  <si>
    <t>Реконструкция котельной по пр-ту Московский, 86 в Фокинском районе г. Брянска</t>
  </si>
  <si>
    <t>Строительство БМК с целью ликвидации котельной № 8 по ул. Молодежная, 29 в д. Орменка Выгоничского района Брянской области</t>
  </si>
  <si>
    <t>Строительство БМК с целью ликвидации котельной № 11 по ул. Центральная, 6 в с. Городец Выгоничского района Брянской области</t>
  </si>
  <si>
    <t>Реконструкция котельной №4 по ул. Мира, 9а с целью переключения потребителей котельной №2 по ул.Ленина,30б в с.Жирятино Жирятинского района Брянской области</t>
  </si>
  <si>
    <t>Строительство БМК с целью переключения потребителей котельной № 8 в д. Пеклино Дубровского района Брянской области</t>
  </si>
  <si>
    <t>Развитие культуры и туризма Брянской области (2014 - 2020 годы)</t>
  </si>
  <si>
    <t>15</t>
  </si>
  <si>
    <t>Развитие инфраструктуры сферы культуры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</si>
  <si>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</si>
  <si>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</si>
  <si>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</si>
  <si>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</si>
  <si>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</si>
  <si>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01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</si>
  <si>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</si>
  <si>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</si>
  <si>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</si>
  <si>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</si>
  <si>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819</t>
  </si>
  <si>
    <t>414</t>
  </si>
  <si>
    <t>Реконструкция театра кукол по ул. Пушкина, 12 в Володарском районе г. Брянска</t>
  </si>
  <si>
    <t>Развитие образования и науки Брянской области (2014 - 2020 годы)</t>
  </si>
  <si>
    <t>16</t>
  </si>
  <si>
    <t>Развитие инфраструктуры сферы образования</t>
  </si>
  <si>
    <t>14</t>
  </si>
  <si>
    <t>Образование</t>
  </si>
  <si>
    <t>07</t>
  </si>
  <si>
    <t>Дошкольное образование</t>
  </si>
  <si>
    <t>мест</t>
  </si>
  <si>
    <t>270</t>
  </si>
  <si>
    <t>Общее образование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</si>
  <si>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</si>
  <si>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17</t>
  </si>
  <si>
    <t>21</t>
  </si>
  <si>
    <t>департамент сельского хозяйства Брянской области</t>
  </si>
  <si>
    <t>817</t>
  </si>
  <si>
    <t>Национальная экономика</t>
  </si>
  <si>
    <t>04</t>
  </si>
  <si>
    <t>Сельское хозяйство и рыболовство</t>
  </si>
  <si>
    <t>Подпрограмма "Устойчивое развитие сельских территорий" (2017 - 2020 годы)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</si>
  <si>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</si>
  <si>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</si>
  <si>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Дорожное хозяйство (дорожные фонды)</t>
  </si>
  <si>
    <t>09</t>
  </si>
  <si>
    <t>Устойчивое развитие сельских территорий</t>
  </si>
  <si>
    <t>Реконструкция автомобильной дороги Воробейня - Рубча на участке км 0+000 - км 8+630 Жирятинского района Брянской области</t>
  </si>
  <si>
    <t>км</t>
  </si>
  <si>
    <t>Реконструкция автомобильной дороги Рогнедино-Снопот на участке км 2+530 - км 9+180 в Рогнединском районе Брянской области</t>
  </si>
  <si>
    <t>Реконструкция автомобильной дороги "Брянск-Новозыбков" - Красное на участке км 0+028 - км 1+013 Выгоничского района Брянской области</t>
  </si>
  <si>
    <t>Реконструкция автомобильной дороги подъезд к с. Любышь на участке км 0+000 - км 1+000 в Дятьковском районе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</si>
  <si>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</si>
  <si>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</si>
  <si>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Подпрограмма "Развитие социальной и инженерной инфраструктуры Брянской области" (2014 - 2020 годы)</t>
  </si>
  <si>
    <t>кВт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</si>
  <si>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</si>
  <si>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</si>
  <si>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Развитие и совершенствование сети автомобильных дорог регионального значения общего пользования</t>
  </si>
  <si>
    <t>16140</t>
  </si>
  <si>
    <t>Реконструкция автомобильной дороги Унеча-Сураж на участке км 17+970 - км 25+060 в Суражском районе Брянской области (2 пусковой комплекс км 21+970-км 25+060)</t>
  </si>
  <si>
    <t>3,090</t>
  </si>
  <si>
    <t>Социальная и демографическая политика Брянской области (2014 - 2020 годы)</t>
  </si>
  <si>
    <t>Модернизация сети и повышение эффективности работы учреждений социального обслуживания населения</t>
  </si>
  <si>
    <t>Социальная политика</t>
  </si>
  <si>
    <t>Социальное обслуживание населения</t>
  </si>
  <si>
    <t>Государственное стационарное учреждение социального обслуживания системы социальной защиты населения "Жуковский дом-интернат для престарелых и инвалидов" г.Жуковка (очистные сооружения)</t>
  </si>
  <si>
    <t>м3/сут</t>
  </si>
  <si>
    <t>100</t>
  </si>
  <si>
    <t>150</t>
  </si>
  <si>
    <t>Развитие физической культуры и спорта Брянской области (2014 - 2020 годы)</t>
  </si>
  <si>
    <t>25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</si>
  <si>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</si>
  <si>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</si>
  <si>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</si>
  <si>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Бассейн по ул. 2-я Мичурина в Володарском районе в г.Брянске</t>
  </si>
  <si>
    <t>чел. в смену</t>
  </si>
  <si>
    <t>48</t>
  </si>
  <si>
    <t>Массовый спорт</t>
  </si>
  <si>
    <t>R4950</t>
  </si>
  <si>
    <t>Реконструкция стадиона "Десна" в Бежицком районе, г. Брянск (в том числе 1 этап реконструкции)</t>
  </si>
  <si>
    <t>Развитие промышленности, транспорта и связи Брянской области (2014 - 2020 годы)</t>
  </si>
  <si>
    <t>37</t>
  </si>
  <si>
    <t>Подпрограмма "Развитие международного аэропорта "Брянск" (2017 - 2019 годы)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</si>
  <si>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</si>
  <si>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</si>
  <si>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</si>
  <si>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</si>
  <si>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Транспорт</t>
  </si>
  <si>
    <t>Охрана окружающей среды, воспроизводство и использование природных ресурсов Брянской области (2014 - 2020 годы)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</si>
  <si>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</si>
  <si>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</si>
  <si>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</si>
  <si>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</si>
  <si>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</si>
  <si>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</si>
  <si>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</si>
  <si>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</si>
  <si>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522</t>
  </si>
  <si>
    <t>Реконструкция очистных сооружений в г. Стародуб</t>
  </si>
  <si>
    <t>куб. м/сут.</t>
  </si>
  <si>
    <t>3600</t>
  </si>
  <si>
    <t>га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</si>
  <si>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</si>
  <si>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</si>
  <si>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</si>
  <si>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</si>
  <si>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</si>
  <si>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по ул. Советской в с. Новые Бобовичи Новозыбковского района Брянской области</t>
  </si>
  <si>
    <t>сети км</t>
  </si>
  <si>
    <t>0,411</t>
  </si>
  <si>
    <t>Выгоничский муниципальный район</t>
  </si>
  <si>
    <t>скважина</t>
  </si>
  <si>
    <t>Гордеевский муниципальный район</t>
  </si>
  <si>
    <t>Реконструкция водонапорной башни п. Мирный Гордеевского района</t>
  </si>
  <si>
    <t>Жуковский муниципальный район</t>
  </si>
  <si>
    <t>Строительство системы водоснабжения пос. Олсуфьево Жуковского района</t>
  </si>
  <si>
    <t>Клинцовский муниципальный район</t>
  </si>
  <si>
    <t>Строительство системы водоснабжения в н.п. Вьюнки Клинцовского района</t>
  </si>
  <si>
    <t>сети км, скважина, наземная на</t>
  </si>
  <si>
    <t>Погарский муниципальный район</t>
  </si>
  <si>
    <t>Стародубский муниципальный район</t>
  </si>
  <si>
    <t>Строительство водонапорной башни в с. Степок Стародубского района</t>
  </si>
  <si>
    <t>Трубчевский муниципальный район</t>
  </si>
  <si>
    <t>Строительство водонапорной башни и сетей водоснабжения в д. Красное Трубчевского района</t>
  </si>
  <si>
    <t>Реконструкция водопровода по ул.Советская пгт Белая Березка Трубчевского района (1 очередь)</t>
  </si>
  <si>
    <t>Унечский муниципальный район</t>
  </si>
  <si>
    <t>Строительство централизованного водоснабжения залинейной части города Унеча Унечского района Брянской области (2 очередь)</t>
  </si>
  <si>
    <t>город Брянск</t>
  </si>
  <si>
    <t>Строительство артезианской скважины в городе Фокино Брянской области</t>
  </si>
  <si>
    <t>Комаричский муниципальный район</t>
  </si>
  <si>
    <t>Детский сад на 75 мест в п. Лопандино Комаричского района Брянской области</t>
  </si>
  <si>
    <t>75</t>
  </si>
  <si>
    <t>Почепский муниципальный район</t>
  </si>
  <si>
    <t>город Новозыбков</t>
  </si>
  <si>
    <t>Пристройка к школе №3 г.Новозыбков</t>
  </si>
  <si>
    <t>Развитие газификации в сельской местности</t>
  </si>
  <si>
    <t>91</t>
  </si>
  <si>
    <t>Брасовский муниципальный район</t>
  </si>
  <si>
    <t>4,33</t>
  </si>
  <si>
    <t>2,274</t>
  </si>
  <si>
    <t>Клетнянский муниципальный район</t>
  </si>
  <si>
    <t>Газификация н.п. Соловьяновка Клетнянского района Брянской области</t>
  </si>
  <si>
    <t>0,946</t>
  </si>
  <si>
    <t>Мглинский муниципальный район</t>
  </si>
  <si>
    <t>Газификация н.п.Молодьково Мглинского района Брянской области</t>
  </si>
  <si>
    <t>0,235</t>
  </si>
  <si>
    <t>Газификация с.Галенск Стародубского района Брянской области</t>
  </si>
  <si>
    <t>Суражский муниципальный район</t>
  </si>
  <si>
    <t>Газификация н.п. Садовая Суражского района</t>
  </si>
  <si>
    <t>4,452</t>
  </si>
  <si>
    <t>Газификация н.п. Макарзно ул.Луговая Трубчевского района Брянской области</t>
  </si>
  <si>
    <t>Газификация н.п. Шуклино Трубчевского района</t>
  </si>
  <si>
    <t>3,511</t>
  </si>
  <si>
    <t>Газификация ул.Луговая н.п.Селец Трубчевского района Брянской области</t>
  </si>
  <si>
    <t>0,537</t>
  </si>
  <si>
    <t>Развитие водоснабжения в сельской местности</t>
  </si>
  <si>
    <t>92</t>
  </si>
  <si>
    <t>Водоснабжение н.п. Стругова Буда Гордеевского района Брянской области (1 очередь строительства)</t>
  </si>
  <si>
    <t>Дятьковский муниципальный район</t>
  </si>
  <si>
    <t>Реконструкция водоснабжения н.п. Лутна Клетнянского района Брянской области (1 очередь строительства)</t>
  </si>
  <si>
    <t>Водоснабжение н.п.Влазовичи Суражского района Брянской области (3 очередь строительства)</t>
  </si>
  <si>
    <t>Развитие сети учреждений культурно - досугового типа</t>
  </si>
  <si>
    <t>93</t>
  </si>
  <si>
    <t>Сельский Дом культуры на 200 мест в п.Погребы Брасовского района</t>
  </si>
  <si>
    <t>200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</si>
  <si>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</si>
  <si>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</si>
  <si>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Электроснабжение микрорайона комплексной жилой застройки в н.п. Меленск Стародубского района Брянской области (II этап)</t>
  </si>
  <si>
    <t>Километр</t>
  </si>
  <si>
    <t>3,3</t>
  </si>
  <si>
    <t>Строительство автомобильных дорог в микрорайоне комплексной жилой застройки в н.п.Меленск Стародубского района Брянской области</t>
  </si>
  <si>
    <t>1,992</t>
  </si>
  <si>
    <t>Строительство автомобильной дороги Подъезд к ферме ООО "Дружба" от съезда влево на км 184+100 автомобильной дороги Брянск-Смоленск в Жуковском районе Брянской области</t>
  </si>
  <si>
    <t>Красногорский муниципальный район</t>
  </si>
  <si>
    <t>Строительство автомобильной дороги Подъезд к МТФ № 1 в н.п. Перелазы от автомобильной дороги Перелазы - Зеленая Дубрава на км 0+320 в Красногорском районе Брянской области</t>
  </si>
  <si>
    <t>Севский муниципальный район</t>
  </si>
  <si>
    <t>Строительство автомобильной дороги Подъезд к МТФ "Шведчики" на км 27+000 автомобильной дороги Комаричи-Севск в Севском районе Брянской области</t>
  </si>
  <si>
    <t>Суземский муниципальный район</t>
  </si>
  <si>
    <t>Строительство автомобильной дороги "Суземка-Трубчевск"-Холмецкий Хутор"-пост Нерусса в Суземском районе Брянской области</t>
  </si>
  <si>
    <t>Строительство автомобильной дороги Подъезд к МТФ колхоза "Серп и Молот" в н.п.Влазовичи на км 0+150 автомобильной дороги Влазовичи-Васильевка в Суражском районе Брянской области</t>
  </si>
  <si>
    <t>Строительство автомобильной дороги "Унеча - ст.Рассуха - Лизогубовка" - Трудовик в Унечском районе Брянской области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</si>
  <si>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</si>
  <si>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Новозыбковский муниципальный район</t>
  </si>
  <si>
    <t>Брянский муниципальный район</t>
  </si>
  <si>
    <t>Жирятинский муниципальный район</t>
  </si>
  <si>
    <t>Газификация д.Павловичи Жирятинского района Брянской области</t>
  </si>
  <si>
    <t>Газификация с.Клинок  Жирятинского района Брянской области</t>
  </si>
  <si>
    <t>Водоснабжение н.п. Неготино Жуковского района Брянской области</t>
  </si>
  <si>
    <t>Строительство водонапорной башни в н.п. Бережок Карачевского района</t>
  </si>
  <si>
    <t>Газификация д.Цинка  Мглинского  района Брянской области</t>
  </si>
  <si>
    <t>0,412</t>
  </si>
  <si>
    <t>Навлинский муниципальный район</t>
  </si>
  <si>
    <t>Водоснабжение н.п. Синезерки Навлинского района Брянской области (1 очередь строительства)</t>
  </si>
  <si>
    <t>256</t>
  </si>
  <si>
    <t>1,02</t>
  </si>
  <si>
    <t>Водоснабжение н.п. Хвощевка Севского района Брянской области</t>
  </si>
  <si>
    <t>Водозаборное сооружение в н.п. Дохновичи Стародубского района Брянской области</t>
  </si>
  <si>
    <t>Реконструкция водоснабжения н.п.Андреевка Суражского района Брянской области (1 очередь строительства)</t>
  </si>
  <si>
    <t>3,86</t>
  </si>
  <si>
    <t>Реконструкция водоснабжения н.п.Косичи Суражского района Брянской области (1 очередь строительства)</t>
  </si>
  <si>
    <t>Водоснабжение н.п. Селец Трубчевского района Брянской области (1 очередь строительства)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</si>
  <si>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</si>
  <si>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</si>
  <si>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примыкания на км 130+370 (справа) автомобильной дороги общего пользования федерального значения Р-120 "Орел-Брянск-Смоленск - граница с республикой Белоруссия, Юго-Западный обход г. Смоленска."</t>
  </si>
  <si>
    <t>Реконструкция Первомайского моста через р. Десна в Бежицком районе г. Брянска (2 пусковой комплекс)</t>
  </si>
  <si>
    <t>Строительство автомобильной дороги - защитной дамбы Брянск 1 - Брянск 2 (1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</si>
  <si>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</si>
  <si>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</si>
  <si>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</si>
  <si>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</si>
  <si>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Создание новых мест в общеобразовательных организациях</t>
  </si>
  <si>
    <t>R5200</t>
  </si>
  <si>
    <t>Пристройка к школе № 59 в Советском районе г. Брянска</t>
  </si>
  <si>
    <t>Здание раздевалок для стадиона в п. Белая Березка Трубчевского района Брянской области</t>
  </si>
  <si>
    <t>Физкультурно-оздоровительный комплекс, г.Сураж</t>
  </si>
  <si>
    <t>Развитие здравоохранения Брянской области (2014 - 2020 годы)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</si>
  <si>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</si>
  <si>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</si>
  <si>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</si>
  <si>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</si>
  <si>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Санаторно-оздоровительная помощь</t>
  </si>
  <si>
    <t>Среднее профессиональное образование</t>
  </si>
  <si>
    <t>Спортивный зал ГОУ СПО "Новозыбковский профессионально-педагогический колледж" в г. Новозыбков Брянской области</t>
  </si>
  <si>
    <t>Климовский муниципальный район</t>
  </si>
  <si>
    <t>Строительство наружной канализации в н.п. Владимировка Комаричского района Брянской области</t>
  </si>
  <si>
    <t>0,966</t>
  </si>
  <si>
    <t>Бассейн спорткомплекса в п.г.т. Климово Брянской области</t>
  </si>
  <si>
    <t>город Стародуб</t>
  </si>
  <si>
    <t>Меленское сельское поселение Стародубского района</t>
  </si>
  <si>
    <t>Нераспределенный резерв</t>
  </si>
  <si>
    <t>кв.м.</t>
  </si>
  <si>
    <t>уч. мест</t>
  </si>
  <si>
    <t>Строительство систем газоснабжения для населенных пунктов Брянской области</t>
  </si>
  <si>
    <t>Строительство систем водоснабжения для населенных пунктов Брянской области</t>
  </si>
  <si>
    <t>Перевод отопления учреждений и организаций социально-культурной сферы на природный газ</t>
  </si>
  <si>
    <t>Модернизация объектов коммунальной инфраструктуры</t>
  </si>
  <si>
    <t>п.м.</t>
  </si>
  <si>
    <t>башня</t>
  </si>
  <si>
    <t>R5670</t>
  </si>
  <si>
    <t>Государственный заказчик: Государственное унитарное предприятие "Брянсккоммунэнерго"</t>
  </si>
  <si>
    <t>Государственный заказчик: Государственное Казенное Учреждение "Управление капитального строительства Брянской области"</t>
  </si>
  <si>
    <t>Департамент строительства Брянской области</t>
  </si>
  <si>
    <t>Государственный заказчик: Казенное учреждение "Управление автомобильных дорог Брянской области"</t>
  </si>
  <si>
    <t>Субсидии на софинансирование капитальных вложений в объекты государственной (муниципальной) собственности</t>
  </si>
  <si>
    <t>Государственный заказчик: Государственное бюджетное учреждение культуры "Брянский государственный краеведческий музей"</t>
  </si>
  <si>
    <t>кв. м.</t>
  </si>
  <si>
    <t>Газификация ФАП в н.п. Хотьяновка Трубчевского района Брянской области</t>
  </si>
  <si>
    <t>Газификация улицы Калинина в городе Мглине Брянской области</t>
  </si>
  <si>
    <t>Самотечный канализационный коллектор №5А из железобетонных труб Ø1200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</si>
  <si>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Водопроводные сети по ул. Калиновка в с. Красный Рог Краснорогского сельского поселения Почепского района Брянской области</t>
  </si>
  <si>
    <t>департамент строительства Брянской области</t>
  </si>
  <si>
    <t>пос. в смену</t>
  </si>
  <si>
    <t>250</t>
  </si>
  <si>
    <t>2019</t>
  </si>
  <si>
    <t>2018</t>
  </si>
  <si>
    <t>Амбулаторная помощь</t>
  </si>
  <si>
    <t>Подпрограмма "Стимулирование развития жилищного строительства в Брянской области" (2017 - 2020 годы)</t>
  </si>
  <si>
    <t>Реализация мероприятий по стимулированию развития жилищного строительства в Брянской области</t>
  </si>
  <si>
    <t>1А</t>
  </si>
  <si>
    <t>Мероприятия по стимулированию программ развития жилищного строительства субъектов Российской Федерации</t>
  </si>
  <si>
    <t>R0210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</si>
  <si>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</si>
  <si>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Физкультурно-оздоровительный комплекс п.г.т. Комаричи (1 этап)</t>
  </si>
  <si>
    <t>Школа на 1225 мест в районе старого аэропорта в Советском районе г. Брянска</t>
  </si>
  <si>
    <t>Карачевское городское поселение</t>
  </si>
  <si>
    <t>Белоберезковское городское поселение</t>
  </si>
  <si>
    <t>Строительство полигона ТБО в пгт. Выгоничи (I очередь)</t>
  </si>
  <si>
    <t>Строительство полигона ТБО в пгт.Красная Гора (I очередь)</t>
  </si>
  <si>
    <t>Строительство полигона ТБО в пгт. Погар (I очередь)</t>
  </si>
  <si>
    <t>Реконструкция здания патологоанатомического корпуса под микробиологическую лабораторию ГАУЗ "Брянская городская больница №1" по адресу: г.Брянск, ул.Камозина, д.11</t>
  </si>
  <si>
    <t>Итого</t>
  </si>
  <si>
    <t>Отделение поликлиники на 150 посещений в смену ГБУЗ "Брянская ЦРБ" в н.п. Супонево Брянского района Брянской области</t>
  </si>
  <si>
    <t>Детский сад-ясли в микрорайоне по ул.Флотской в Бежицком районе г.Брянска (корректировка)</t>
  </si>
  <si>
    <t>Детский сад-ясли на 270 мест на территории бывшего аэропорта в Советском районе г. Брянска (корректировка)</t>
  </si>
  <si>
    <t>Строительство автомобильной дороги Эдазия-Красный Бор в Жуковском районе Брянской области</t>
  </si>
  <si>
    <t>Строительство водоснабжения в н.п. Ивановка Брянского района Брянской области</t>
  </si>
  <si>
    <t>Детская поликлиника на 250 посещений в смену в Фокинском районе г.Брянска</t>
  </si>
  <si>
    <t>Газификация н.п.Упрусы Жуковского района</t>
  </si>
  <si>
    <t>Детский сад г. Стародуб Брянской области</t>
  </si>
  <si>
    <t>Строительство водозаборного сооружения с наземной насосной станцией в с. Внуковичи Новозыбковского района Брянской области</t>
  </si>
  <si>
    <t>Строительство водозаборного сооружения с наземной насосной станцией в с. Новое Место Новозыбковского района Брянской области</t>
  </si>
  <si>
    <t>Строительство водозаборного сооружения с наземной насосной станцией в с. Новые Бобовичи Новозыбковского района Брянской области</t>
  </si>
  <si>
    <t>Реконструкция мостового перехода через р.Десна на км 6+681 автомобильной дороги "Брянск-Смоленск"-Жуковка в Жуковском районе Брянской области</t>
  </si>
  <si>
    <t>Строительство спального корпуса на 120 мест и банно-прачечного комбината Дубровского дома-интерната для умственно-отсталых детей (реконструкция корпуса №3)</t>
  </si>
  <si>
    <t>Строительство здания столовой Трубчевского психоневрологического интерната в н.п.Кветунь Трубчевского района</t>
  </si>
  <si>
    <t>Наружные водопроводные сети 2-й очереди района индивидуальных жилых домов в 116 квартале в г.Новозыбков Брянской области</t>
  </si>
  <si>
    <t>Строительство автодороги по ул.Романа Брянского на участке между ул. Авиационной и ул. Брянского Фронта в Советском районе города Брянска (2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</si>
  <si>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(1 этап)</t>
  </si>
  <si>
    <t>Реконструкция автомобильной дороги "Брянск-Новозыбков"-Мглин на участке км 30+450 - км 46+040 в Мглинском районе Брянской области (ПИР)</t>
  </si>
  <si>
    <t>Газификация котельной для школы и детского сада в н.п. Витемля Погарского района Брянской области</t>
  </si>
  <si>
    <t>Газификация н.п. Коробовщина Стародубского района Брянской области</t>
  </si>
  <si>
    <t>в том числе кредиторская задолженность за работы, выполненные в 2017 году</t>
  </si>
  <si>
    <t>Человек</t>
  </si>
  <si>
    <t>Реконструкция водоснабжения н.п. Грибовы Дворы Карачевского района</t>
  </si>
  <si>
    <t>Водозаборное сооружение н.п. Березина Унечского района Брянской области</t>
  </si>
  <si>
    <t>Газификация д.Дягово Почепского  района Брянской области</t>
  </si>
  <si>
    <t>Газификация участка №8 ГУП ОНО ОПХ "Черемушки" д. Дубровка, Брянского района, Брянской области (1-ая очередь застройки) (ПИР)</t>
  </si>
  <si>
    <t>Водоснабжение участка №8 ГУП ОНО ОПХ "Черемушки" д. Дубровка, Брянского района, Брянской области (1-ая очередь застройки) (ПИР)</t>
  </si>
  <si>
    <t>Газификация ул.Павших Героев н.п.Хотеева Брасовского района Брянской области</t>
  </si>
  <si>
    <t>Климовское городское поселение</t>
  </si>
  <si>
    <t>Строительство канализационной насосной станции для ФОК в р.п. Климово Брянской области</t>
  </si>
  <si>
    <t>Газопровод низкого давления по ул. Советская д. Волкова Карачевского района Брянской области</t>
  </si>
  <si>
    <t>Строительство водоснабжения в н.п.Доманово Дятьковского района Брянской области (2 очередь строительства)</t>
  </si>
  <si>
    <t>Газификация ул. Октябрьская и пер. Заречный в н.п. Писаревка Унечского района Брянской области</t>
  </si>
  <si>
    <t>Водоснабжение н.п. Красное Брасовского района Брянской области (I очередь строительства)</t>
  </si>
  <si>
    <t>Строительство автомобильной дороги Чаусы - Сопычи в Погарском районе Брянской области</t>
  </si>
  <si>
    <t>Строительство объекта "Автодорога по ул. Советской (от ул.Крахмалева до ул. Объездной) в Советском районе г.Брянска"</t>
  </si>
  <si>
    <t>Детский сад на 135 мест, в том числе 80 мест для детей в возрасте от двух месяцев до трех лет в г.Сураже</t>
  </si>
  <si>
    <t>Пристройка для размещения групп раннего возраста к детскому саду №111 "Гнёздышко" в Советском районе г. Брянска</t>
  </si>
  <si>
    <t>Пристройка для размещения групп раннего возраста к детскому саду № 74 "Рябинка" в Советском районе г. Брянска</t>
  </si>
  <si>
    <t>Пристройка для размещения групп раннего возраста к детскому саду № 158 "Капелька" в Бежицком районе г. Брянска</t>
  </si>
  <si>
    <t>Пристройка для размещения групп раннего возраста к детскому саду № 129 "Подсолнушек" в Советском районе г. Брянска</t>
  </si>
  <si>
    <t>Пристройка для размещения групп раннего возраста к детскому саду № 112 "Лисичка" в Володарском районе г. Брянска</t>
  </si>
  <si>
    <t>Пристройка для размещения групп раннего возраста к детскому саду № 53 "Зелёный огонёк" в Советском районе г. Брянска</t>
  </si>
  <si>
    <t>Иные межбюджетные трансферты</t>
  </si>
  <si>
    <t>Детский сад на 35 мест в с.Дмитрово Почепского района Брянской области</t>
  </si>
  <si>
    <t>Строительство автомобильной дороги Урицкий-Козелкино в Брянском районе Брянской области. (1 этап)</t>
  </si>
  <si>
    <t>Строительство моста через реку Десна на км 1+250 автомобильной дороги Подъезд к д. Сельцо в Брянском районе Брянской области</t>
  </si>
  <si>
    <t>Строительство объекта "Автодорога по ул. Советской (от ул.Крахмалева до ул. Объездной) в Советском районе г.Брянска</t>
  </si>
  <si>
    <t>Патологоанатомический корпус. ГБУЗ "Новозыбковская ЦРБ"</t>
  </si>
  <si>
    <t>Газификация ул. Северной в д. Калинки Суражского района</t>
  </si>
  <si>
    <t>Детский сад в микрорайоне "Мегаполис – парк" п. Путевка Брянского района на 135 мест, из них 80 мест для детей от двух месяцев до трех лет</t>
  </si>
  <si>
    <t>Детский сад по ул. Романа Брянского в Советском районе г. Брянска</t>
  </si>
  <si>
    <t>Детский сад по ул. Новозыбковской в Фокинском районе г. Брянска</t>
  </si>
  <si>
    <t>Пристройка для размещения групп раннего возраста к детскому саду № 155 "Светлячок" в Бежицком районе г. Брянска</t>
  </si>
  <si>
    <t>Напорный канализационный коллектор (2 нитки д=600 мм) от КНС "Ждановская" до КОС. Участок от камеры переключения напротив жилого дома № 10/5 по пр. Московскому до пр. Западного в Фокинском районе г. Брянска</t>
  </si>
  <si>
    <t>Камера переключения по ул. Объездной и напорные канализационные коллектора для переключения части стоков Бежицкого района в существующий канализационный коллектор по ул. Советской, диаметром 800 мм в Советском районе города Брянска</t>
  </si>
  <si>
    <t>Напорный коллектор (2 нитки д=500 мм) в Советском районе г. Брянска. Участок от КНС 5-го микрорайона до жилого дома № 20-а по ул. Брянского Фронта</t>
  </si>
  <si>
    <t>Самотечный канализационный коллектор №1 из железобетонных труб Ø700-900 мм в Бежицком районе г. Брянска. Участок от ул. Дружбы до ГКНС-4</t>
  </si>
  <si>
    <t>Самотечный канализационный коллектор №3 из железобетонных труб Ø800-1200 мм в Бежицком районе г. Брянска. Участок от ул. Почтовой до ГКНС-4</t>
  </si>
  <si>
    <t>Наименование муниципального образования; объекта</t>
  </si>
  <si>
    <t>Наименование государственного заказчика; объекта</t>
  </si>
  <si>
    <t>Наименование объекта</t>
  </si>
  <si>
    <t>Федеральный бюджет</t>
  </si>
  <si>
    <t>Областной бюджет</t>
  </si>
  <si>
    <t>Лимит капитальных вложений, всего</t>
  </si>
  <si>
    <t>в том числе:</t>
  </si>
  <si>
    <t>Изменения (+/-)</t>
  </si>
  <si>
    <t>К утверждению</t>
  </si>
  <si>
    <t>Утверждено на 2019 год</t>
  </si>
  <si>
    <t>Утверждено на 2018 год</t>
  </si>
  <si>
    <t>Реконструкция водонапорной башни с водопроводными сетями в н.п. Песочня Песоченского сельского поселения Карачевского района</t>
  </si>
  <si>
    <t>6,250</t>
  </si>
  <si>
    <t>Строительство автостоянки по адресу Брянский район, с. Октябрьское, ул. Авиаторов</t>
  </si>
  <si>
    <t>м3/час</t>
  </si>
  <si>
    <t>Чел.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</si>
  <si>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</si>
  <si>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Газификация н.п. Каружа Трубчевского района</t>
  </si>
  <si>
    <t>Водоснабжение н.п.Новенькое Суземкого района Брянской области (1 очередь строительства)</t>
  </si>
  <si>
    <t>Злынковский муниципальный район</t>
  </si>
  <si>
    <t>Водозаборное сооружение в н.п.Вышков Злынковского района Брянской области</t>
  </si>
  <si>
    <t>Строительство БМК с целью ликвидации котельной по ул. Тепличная, 17а в п.Новые Дарковичи Брянского района Брянской области</t>
  </si>
  <si>
    <t>Газификация участка №8 ГУП ОНО ОПХ "Черемушки" д. Дубровка, Брянского района, Брянской области (2-ая очередь застройки) (ПИР)</t>
  </si>
  <si>
    <t>Газификация участка №8 ГУП ОНО ОПХ "Черемушки" д. Дубровка, Брянского района, Брянской области (3-я очередь застройки) (ПИР)</t>
  </si>
  <si>
    <t>Газификация участка №8 ГУП ОНО ОПХ "Черемушки" д. Дубровка, Брянского района, Брянской области (4-ая очередь застройки) (ПИР)</t>
  </si>
  <si>
    <t>Газификация участка №8 ГУП ОНО ОПХ "Черемушки" д. Дубровка, Брянского района, Брянской области (5-ая очередь застройки) (ПИР)</t>
  </si>
  <si>
    <t>Водоснабжение участка №8 ГУП ОНО ОПХ "Черемушки" д. Дубровка, Брянского района, Брянской области (3-я очередь застройки) (ПИР)</t>
  </si>
  <si>
    <t>Водоснабжение участка №8 ГУП ОНО ОПХ "Черемушки" д. Дубровка, Брянского района, Брянской области (4-ая, 5-ая очередь застройки) (ПИР)</t>
  </si>
  <si>
    <t>Городской округ "город Фокино"</t>
  </si>
  <si>
    <t>сети км; артезианская скважина</t>
  </si>
  <si>
    <t>0,112;1</t>
  </si>
  <si>
    <t>Строительство водозаборного узла и водопроводной сети д. Орменка, ул. Мира, 4а, Выгоничский район, Брянская область</t>
  </si>
  <si>
    <t>сети км; артезианская скважина; водонапорная башня</t>
  </si>
  <si>
    <t>0,382; 1; 1</t>
  </si>
  <si>
    <t>сети км; водонапорная башня</t>
  </si>
  <si>
    <t>0,07; 1</t>
  </si>
  <si>
    <t>Реконструкция сети водоснабжения ул. Заозерная с. Гордевка Гордеевского раойна</t>
  </si>
  <si>
    <t>Реконструкция сетей водоснабжения ул. Калининская с.Творишино Гордеевского района</t>
  </si>
  <si>
    <t>2,713; 1</t>
  </si>
  <si>
    <t>2,463; 1</t>
  </si>
  <si>
    <t>Реконструкция водопроводных сетей по ул. Совхозная, ул. Васильцовская, ул. Котовка в д. Тростань Новозыбковского района Брянской области</t>
  </si>
  <si>
    <t>1,153; 1</t>
  </si>
  <si>
    <t>0,035; 1</t>
  </si>
  <si>
    <t>Строительство артезианской скважины в д. Городцы Трубчевского района</t>
  </si>
  <si>
    <t>Унечское городское поселение</t>
  </si>
  <si>
    <t>Погарское городское поселение</t>
  </si>
  <si>
    <t>Строительство сетей водоснабжения в пгт. Погар Погарского района Брянской области (1 очередь)</t>
  </si>
  <si>
    <t>Строительство сетей водоснабжения в пгт. Погар Погарского района Брянской области (2 очередь)</t>
  </si>
  <si>
    <t>сети км; вдонапорная башня</t>
  </si>
  <si>
    <t>0,005; 1</t>
  </si>
  <si>
    <t>Рогнединское городское поселение</t>
  </si>
  <si>
    <t>Реконструкция водопроводных сетей в р.п. Рогнедино</t>
  </si>
  <si>
    <t>Севское городское поселение</t>
  </si>
  <si>
    <t>Реконструкция станции подкачки воды в г. Севске по ул. Салтыкова Щедрина, д.44</t>
  </si>
  <si>
    <t>насосная станция подкачки</t>
  </si>
  <si>
    <t>Суземское городское поселение</t>
  </si>
  <si>
    <t>0,68; 1; 1</t>
  </si>
  <si>
    <t>Строительство системы водоснабжения в западной части п. Суземка Брянской области</t>
  </si>
  <si>
    <t>Водоснабжение участка №8 ГУП ОНО ОПХ "Черемушки" д. Дубровка, Брянского района, Брянской области (2-ая очередь застройки) (ПИР)</t>
  </si>
  <si>
    <t>Реконструкция аэропортового комплекса (г. Брянск) (ПИР)</t>
  </si>
  <si>
    <t>Подпрограмма "Обеспечение жильем медицинских работников (врачей) государственных учреждений здравоохранения Брянской области" (2018 - 2020 годы)</t>
  </si>
  <si>
    <t>Формирование системы управления кадровым потенциалом в сфере здравоохранения с учетом структуры региональной потребности в медицинских кадрах, их оптимального размещения и эффективного использования, достижение полноты укомплектованности учреждений здравоохранения медицинскими работниками (врачами)</t>
  </si>
  <si>
    <t>29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</si>
  <si>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</si>
  <si>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</si>
  <si>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</si>
  <si>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</si>
  <si>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461</t>
  </si>
  <si>
    <t>Нераспределенные средства</t>
  </si>
  <si>
    <t>462</t>
  </si>
  <si>
    <t>Скорая медицинская помощь</t>
  </si>
  <si>
    <t>Другие вопросы в области здравоохранения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</si>
  <si>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
дошкольного образования</t>
  </si>
  <si>
    <t>R1590</t>
  </si>
  <si>
    <t>Реконструкция автомобильной дороги Красный Бор - ст. Чернетово на участке км 0+100 - км 1+210 (с устройством подъезда к г. Сельцо) в Брянском районе Брянской области</t>
  </si>
  <si>
    <t>Реконструкция автомобильной дороги "Брянск-Новозыбков"-Мглин на участке км 44+471 - км 46+151 в Мглинском районе Брянской области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</si>
  <si>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</si>
  <si>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Погребское сельское поселение Брасовского муниципального района</t>
  </si>
  <si>
    <t>Комплексный центр помощи семье и детям в п.г.т. Суземка Брянской области</t>
  </si>
  <si>
    <t xml:space="preserve">кв. м. </t>
  </si>
  <si>
    <t>Государственный заказчик: Государственное бюджетное учреждение здравоохранения "Брянская межрайонная больница"</t>
  </si>
  <si>
    <t>Жилое помещение (квартира 1-комн.), Брянский район, с. Глинищево</t>
  </si>
  <si>
    <t>Жилое помещение (квартира 2-комн.), Брянский район, с. Глинищево</t>
  </si>
  <si>
    <t>Жилое помещение (квартира 3-комн.), Брянский район, с. Глинищево</t>
  </si>
  <si>
    <t>Государственный заказчик: Государственное бюджетное учреждение здравоохранения "Дятьковская  районная больница им. В.А. Понизова"</t>
  </si>
  <si>
    <t>Жилое помещение (квартира 1-комн.), Дятьковский район, г. Дятьково</t>
  </si>
  <si>
    <t>Государственный заказчик: Государственное бюджетное учреждение здравоохранения "Климовская центральная районная больница"</t>
  </si>
  <si>
    <t>Жилое помещение (квартира 2-комн.), Климовский район, р.п. Климово</t>
  </si>
  <si>
    <t>50,5</t>
  </si>
  <si>
    <t>50,9</t>
  </si>
  <si>
    <t>51,3</t>
  </si>
  <si>
    <t>60,5</t>
  </si>
  <si>
    <t>61,7</t>
  </si>
  <si>
    <t>Жилое помещение (квартира 3-комн.), Климовский район, р.п. Климово</t>
  </si>
  <si>
    <t>78,6</t>
  </si>
  <si>
    <t>Государственный заказчик: Государственное бюджетное учреждение здравоохранения "Новозыбковская центральная районная больница"</t>
  </si>
  <si>
    <t>Жилое помещение (квартира 1-комн.) г. Новозыбков</t>
  </si>
  <si>
    <t>Жилое помещение (квартира 2-комн.) г. Новозыбков</t>
  </si>
  <si>
    <t>58,6</t>
  </si>
  <si>
    <t>Государственный заказчик: Государственное бюджетное учреждение здравоохранения "Почепская центральная районная больница"</t>
  </si>
  <si>
    <t>Жилое помещение (квартира 2-комн.), Почепский район, г. Почеп</t>
  </si>
  <si>
    <t>Государственный заказчик: Государственное бюджетное учреждение здравоохранения "Суражская центральная районная больница"</t>
  </si>
  <si>
    <t>Жилое помещение (квартира 1-комн.), Суражский район, г. Сураж</t>
  </si>
  <si>
    <t>Жилое помещение (квартира 2-комн.), Суражский район, г. Сураж</t>
  </si>
  <si>
    <t>Государственный заказчик: Государственное бюджетное учреждение здравоохранения "Фокинская городская больница им. В.И. Гедройц"</t>
  </si>
  <si>
    <t>Жилое помешение (квартира 2-комн.), г. Фокино</t>
  </si>
  <si>
    <t xml:space="preserve">Государственный заказчик: Государственное бюджетное учреждение здравоохранения "Унечская центральная районная больница"                      </t>
  </si>
  <si>
    <t>Жилое помещение (квартира 1-комн.), Унечский район г.Унеча</t>
  </si>
  <si>
    <t>Жилое помещение (квартира 2-комн.), Унечский район г.Унеча</t>
  </si>
  <si>
    <t>Государственный заказчик: Государственное автономное учреждение здравоохранения "Новозыбковская стоматологическая поликлиника"</t>
  </si>
  <si>
    <t>Жилое помещение ( квартира 1-комн.), г. Новозыбков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</si>
  <si>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</si>
  <si>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</si>
  <si>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</si>
  <si>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</si>
  <si>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Бюджетные инвестиции в объекты капитального строительства государственной (муниципальной) собственности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</si>
  <si>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</si>
  <si>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Субсидии государственным учреждениям на приобретение объектов недвижимого имущества (жилых помещений) в государственную  собственность Брянской области</t>
  </si>
  <si>
    <t>460</t>
  </si>
  <si>
    <t>46,56/0,06</t>
  </si>
  <si>
    <t>10/0,053</t>
  </si>
  <si>
    <t>12,56/0,523</t>
  </si>
  <si>
    <t>3/0,151</t>
  </si>
  <si>
    <t>0,4/0,1887</t>
  </si>
  <si>
    <t>0,2/0,157</t>
  </si>
  <si>
    <t>1,6/0,081</t>
  </si>
  <si>
    <t>0,6/0,657</t>
  </si>
  <si>
    <t>51,1</t>
  </si>
  <si>
    <t>50,6</t>
  </si>
  <si>
    <t>36,3</t>
  </si>
  <si>
    <t>39,9</t>
  </si>
  <si>
    <t>40,0</t>
  </si>
  <si>
    <t>40,4</t>
  </si>
  <si>
    <t>55,2</t>
  </si>
  <si>
    <t>40,2</t>
  </si>
  <si>
    <t>56,4</t>
  </si>
  <si>
    <t>56,6</t>
  </si>
  <si>
    <t>53,2</t>
  </si>
  <si>
    <t>58,1</t>
  </si>
  <si>
    <t>45,1</t>
  </si>
  <si>
    <t>63,8</t>
  </si>
  <si>
    <t>63,9</t>
  </si>
  <si>
    <t>64,6</t>
  </si>
  <si>
    <t>36,4</t>
  </si>
  <si>
    <t>Очистные сооружения пгт. Комаричи</t>
  </si>
  <si>
    <t>Создание инфраструктуры, необходимой для обеспечения условий безопасной жизнедеятельности населения на территории Брянской области, подвергшейся радиоактивному загрязнению вследствие аварии на Чернобыльской АЭС</t>
  </si>
  <si>
    <t>Государственный заказчик:</t>
  </si>
  <si>
    <t xml:space="preserve">
</t>
  </si>
  <si>
    <t>Приложение 2</t>
  </si>
  <si>
    <t>Приложение 1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</si>
  <si>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январь - декабрь 2018 года</t>
  </si>
  <si>
    <t>Утверждено</t>
  </si>
  <si>
    <t>Освоено</t>
  </si>
  <si>
    <t>Исполнено</t>
  </si>
  <si>
    <t>Процент исполнения</t>
  </si>
  <si>
    <t>Приложение 3</t>
  </si>
  <si>
    <t>Отчет об исполнении перечня объектов капитальных вложений муниципальной  собственности региональной адресной инвестиционной программы за январь - декабрь 2018 года</t>
  </si>
  <si>
    <t>Отчет об исполнении перечня объектов недвижимого имущества региональной адресной инвестиционной программы за январь - декабрь 2018 года</t>
  </si>
  <si>
    <t>Исп. Бобаков Д.А.
Тел. 32-25-62 доб. 251</t>
  </si>
  <si>
    <t>Директор департамента</t>
  </si>
  <si>
    <t>Г.Н. Солодун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</si>
</sst>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0.000"/>
    <numFmt numFmtId="166" formatCode="#,##0.00_ ;\-#,##0.00\ "/>
    <numFmt numFmtId="167" formatCode="#,##0.000"/>
    <numFmt numFmtId="168" formatCode="#,##0.0_ ;\-#,##0.0\ "/>
    <numFmt numFmtId="169" formatCode="#,##0_ ;\-#,##0\ "/>
  </numFmts>
  <fonts count="10" x14ac:knownFonts="1">
    <font>
      <sz val="10"/>
      <color rgb="FF000000"/>
      <name val="Times New Roman"/>
      <family val="2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Times New Roman"/>
      <family val="2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44" fontId="0" fillId="0" borderId="0">
      <alignment vertical="top" wrapText="1"/>
    </xf>
    <xf numFmtId="44" fontId="8" fillId="0" borderId="0">
      <alignment vertical="top" wrapText="1"/>
    </xf>
  </cellStyleXfs>
  <cellXfs count="181">
    <xf numFmtId="44" fontId="0" fillId="0" borderId="0" xfId="0" applyNumberFormat="1" applyFont="1" applyFill="1" applyAlignment="1">
      <alignment vertical="top" wrapText="1"/>
    </xf>
    <xf numFmtId="4" fontId="4" fillId="0" borderId="0" xfId="0" applyNumberFormat="1" applyFont="1" applyFill="1" applyAlignment="1">
      <alignment vertical="top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4" fillId="2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vertical="top" wrapTex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4" fontId="2" fillId="0" borderId="0" xfId="0" applyNumberFormat="1" applyFont="1" applyFill="1" applyAlignment="1">
      <alignment horizontal="center" vertical="center" wrapText="1"/>
    </xf>
    <xf numFmtId="44" fontId="2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44" fontId="3" fillId="0" borderId="0" xfId="0" applyNumberFormat="1" applyFont="1" applyFill="1" applyAlignment="1">
      <alignment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1" applyNumberFormat="1" applyFont="1" applyFill="1" applyAlignment="1">
      <alignment horizontal="center" vertical="center" wrapText="1"/>
    </xf>
    <xf numFmtId="44" fontId="2" fillId="0" borderId="0" xfId="1" applyNumberFormat="1" applyFont="1" applyFill="1" applyAlignment="1">
      <alignment vertical="top" wrapText="1"/>
    </xf>
    <xf numFmtId="0" fontId="3" fillId="0" borderId="0" xfId="1" applyNumberFormat="1" applyFont="1" applyFill="1" applyAlignment="1">
      <alignment vertical="center" wrapText="1"/>
    </xf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 applyAlignment="1">
      <alignment horizontal="left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vertical="center" wrapText="1"/>
    </xf>
    <xf numFmtId="0" fontId="3" fillId="0" borderId="2" xfId="1" applyNumberFormat="1" applyFont="1" applyFill="1" applyBorder="1" applyAlignment="1">
      <alignment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44" fontId="1" fillId="0" borderId="9" xfId="1" applyFont="1" applyFill="1" applyBorder="1" applyAlignment="1">
      <alignment horizontal="left" vertical="center" wrapText="1"/>
    </xf>
    <xf numFmtId="49" fontId="1" fillId="0" borderId="9" xfId="1" applyNumberFormat="1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horizontal="center" vertical="center" wrapText="1"/>
    </xf>
    <xf numFmtId="44" fontId="1" fillId="0" borderId="9" xfId="1" applyFont="1" applyFill="1" applyBorder="1" applyAlignment="1">
      <alignment vertical="top" wrapText="1"/>
    </xf>
    <xf numFmtId="4" fontId="1" fillId="0" borderId="9" xfId="1" applyNumberFormat="1" applyFont="1" applyFill="1" applyBorder="1" applyAlignment="1">
      <alignment horizontal="right" vertical="center" wrapText="1"/>
    </xf>
    <xf numFmtId="44" fontId="2" fillId="0" borderId="0" xfId="1" applyFont="1" applyFill="1" applyAlignment="1">
      <alignment vertical="top" wrapText="1"/>
    </xf>
    <xf numFmtId="0" fontId="1" fillId="0" borderId="9" xfId="0" applyNumberFormat="1" applyFont="1" applyFill="1" applyBorder="1" applyAlignment="1">
      <alignment horizontal="left" vertical="center" wrapText="1"/>
    </xf>
    <xf numFmtId="44" fontId="1" fillId="0" borderId="9" xfId="1" applyFont="1" applyFill="1" applyBorder="1" applyAlignment="1">
      <alignment vertical="center" wrapText="1"/>
    </xf>
    <xf numFmtId="0" fontId="1" fillId="0" borderId="9" xfId="1" applyNumberFormat="1" applyFont="1" applyFill="1" applyBorder="1" applyAlignment="1">
      <alignment horizontal="left" vertical="center" wrapText="1"/>
    </xf>
    <xf numFmtId="169" fontId="1" fillId="0" borderId="9" xfId="1" applyNumberFormat="1" applyFont="1" applyFill="1" applyBorder="1" applyAlignment="1">
      <alignment horizontal="center" vertical="center" wrapText="1"/>
    </xf>
    <xf numFmtId="166" fontId="1" fillId="0" borderId="9" xfId="1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168" fontId="2" fillId="0" borderId="9" xfId="1" applyNumberFormat="1" applyFont="1" applyFill="1" applyBorder="1" applyAlignment="1">
      <alignment horizontal="center" vertical="center" wrapText="1"/>
    </xf>
    <xf numFmtId="49" fontId="2" fillId="0" borderId="9" xfId="1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left" vertical="center" wrapText="1"/>
    </xf>
    <xf numFmtId="4" fontId="3" fillId="0" borderId="9" xfId="1" applyNumberFormat="1" applyFont="1" applyFill="1" applyBorder="1" applyAlignment="1">
      <alignment horizontal="right" vertical="center" wrapText="1"/>
    </xf>
    <xf numFmtId="1" fontId="2" fillId="0" borderId="9" xfId="1" applyNumberFormat="1" applyFont="1" applyFill="1" applyBorder="1" applyAlignment="1">
      <alignment horizontal="center" vertical="center" wrapText="1"/>
    </xf>
    <xf numFmtId="44" fontId="3" fillId="0" borderId="9" xfId="1" applyFont="1" applyFill="1" applyBorder="1" applyAlignment="1">
      <alignment horizontal="center" vertical="center" wrapText="1"/>
    </xf>
    <xf numFmtId="49" fontId="1" fillId="0" borderId="9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horizontal="center" vertical="center" wrapText="1"/>
    </xf>
    <xf numFmtId="44" fontId="3" fillId="0" borderId="0" xfId="1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44" fontId="3" fillId="0" borderId="0" xfId="0" applyNumberFormat="1" applyFont="1" applyFill="1" applyAlignment="1">
      <alignment horizontal="right" vertical="top" wrapText="1"/>
    </xf>
    <xf numFmtId="0" fontId="3" fillId="0" borderId="12" xfId="0" applyNumberFormat="1" applyFont="1" applyFill="1" applyBorder="1" applyAlignment="1">
      <alignment horizontal="center" vertical="center" wrapText="1"/>
    </xf>
    <xf numFmtId="44" fontId="3" fillId="0" borderId="2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Alignment="1">
      <alignment horizontal="right" vertical="center" wrapText="1"/>
    </xf>
    <xf numFmtId="0" fontId="3" fillId="0" borderId="13" xfId="1" applyNumberFormat="1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 wrapText="1"/>
    </xf>
    <xf numFmtId="4" fontId="1" fillId="0" borderId="13" xfId="1" applyNumberFormat="1" applyFont="1" applyFill="1" applyBorder="1" applyAlignment="1">
      <alignment horizontal="right" vertical="center" wrapText="1"/>
    </xf>
    <xf numFmtId="4" fontId="3" fillId="0" borderId="13" xfId="1" applyNumberFormat="1" applyFont="1" applyFill="1" applyBorder="1" applyAlignment="1">
      <alignment horizontal="right" vertical="center" wrapText="1"/>
    </xf>
    <xf numFmtId="44" fontId="3" fillId="0" borderId="0" xfId="1" applyNumberFormat="1" applyFont="1" applyFill="1" applyAlignment="1">
      <alignment horizontal="right" vertical="center" wrapText="1"/>
    </xf>
    <xf numFmtId="44" fontId="2" fillId="0" borderId="0" xfId="1" applyNumberFormat="1" applyFont="1" applyFill="1" applyAlignment="1">
      <alignment horizontal="center" vertical="top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Alignment="1">
      <alignment horizontal="center" wrapText="1"/>
    </xf>
    <xf numFmtId="44" fontId="3" fillId="0" borderId="0" xfId="1" applyNumberFormat="1" applyFont="1" applyFill="1" applyAlignment="1">
      <alignment horizontal="center" vertical="top" wrapText="1"/>
    </xf>
    <xf numFmtId="10" fontId="3" fillId="0" borderId="2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4" fontId="2" fillId="2" borderId="0" xfId="0" applyNumberFormat="1" applyFont="1" applyFill="1" applyAlignment="1">
      <alignment vertical="top" wrapText="1"/>
    </xf>
    <xf numFmtId="44" fontId="1" fillId="2" borderId="1" xfId="0" applyFont="1" applyFill="1" applyBorder="1" applyAlignment="1">
      <alignment horizontal="left" vertical="center" wrapText="1"/>
    </xf>
    <xf numFmtId="44" fontId="1" fillId="2" borderId="1" xfId="0" applyFont="1" applyFill="1" applyBorder="1" applyAlignment="1">
      <alignment horizontal="center" vertical="center" wrapText="1"/>
    </xf>
    <xf numFmtId="44" fontId="1" fillId="2" borderId="1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horizontal="right" vertical="center" wrapText="1"/>
    </xf>
    <xf numFmtId="44" fontId="2" fillId="2" borderId="0" xfId="0" applyFont="1" applyFill="1" applyAlignment="1">
      <alignment vertical="top" wrapText="1"/>
    </xf>
    <xf numFmtId="44" fontId="1" fillId="2" borderId="1" xfId="0" applyFont="1" applyFill="1" applyBorder="1" applyAlignment="1">
      <alignment vertical="center" wrapText="1"/>
    </xf>
    <xf numFmtId="44" fontId="3" fillId="2" borderId="1" xfId="0" applyFont="1" applyFill="1" applyBorder="1" applyAlignment="1">
      <alignment horizontal="left" vertical="center" wrapText="1"/>
    </xf>
    <xf numFmtId="44" fontId="3" fillId="2" borderId="1" xfId="0" applyFont="1" applyFill="1" applyBorder="1" applyAlignment="1">
      <alignment horizontal="center" vertical="center" wrapText="1"/>
    </xf>
    <xf numFmtId="44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4" fontId="3" fillId="2" borderId="3" xfId="0" applyFont="1" applyFill="1" applyBorder="1" applyAlignment="1">
      <alignment horizontal="left" vertical="center" wrapText="1"/>
    </xf>
    <xf numFmtId="44" fontId="3" fillId="2" borderId="2" xfId="0" applyFont="1" applyFill="1" applyBorder="1" applyAlignment="1">
      <alignment horizontal="left" vertical="center" wrapText="1"/>
    </xf>
    <xf numFmtId="44" fontId="3" fillId="2" borderId="5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vertical="top" wrapText="1"/>
    </xf>
    <xf numFmtId="4" fontId="1" fillId="2" borderId="7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top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4" fontId="7" fillId="2" borderId="0" xfId="0" applyNumberFormat="1" applyFont="1" applyFill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top" wrapText="1"/>
    </xf>
    <xf numFmtId="4" fontId="1" fillId="2" borderId="12" xfId="0" applyNumberFormat="1" applyFont="1" applyFill="1" applyBorder="1" applyAlignment="1">
      <alignment horizontal="right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top" wrapText="1"/>
    </xf>
    <xf numFmtId="0" fontId="2" fillId="2" borderId="6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4" fontId="1" fillId="2" borderId="1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4" fontId="2" fillId="2" borderId="1" xfId="0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left" vertical="center" wrapText="1" shrinkToFi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4" fontId="3" fillId="2" borderId="6" xfId="0" applyNumberFormat="1" applyFont="1" applyFill="1" applyBorder="1" applyAlignment="1">
      <alignment horizontal="right" vertical="center" wrapText="1" shrinkToFit="1"/>
    </xf>
    <xf numFmtId="44" fontId="2" fillId="2" borderId="0" xfId="0" applyNumberFormat="1" applyFont="1" applyFill="1" applyAlignment="1">
      <alignment vertical="top" wrapText="1" shrinkToFit="1"/>
    </xf>
    <xf numFmtId="44" fontId="3" fillId="0" borderId="0" xfId="0" applyNumberFormat="1" applyFont="1" applyFill="1" applyAlignment="1">
      <alignment wrapText="1"/>
    </xf>
    <xf numFmtId="44" fontId="3" fillId="0" borderId="0" xfId="1" applyNumberFormat="1" applyFont="1" applyFill="1" applyAlignment="1">
      <alignment wrapText="1"/>
    </xf>
    <xf numFmtId="10" fontId="1" fillId="0" borderId="2" xfId="0" applyNumberFormat="1" applyFont="1" applyFill="1" applyBorder="1" applyAlignment="1">
      <alignment horizontal="right" vertical="center" wrapText="1"/>
    </xf>
    <xf numFmtId="10" fontId="3" fillId="2" borderId="2" xfId="0" applyNumberFormat="1" applyFont="1" applyFill="1" applyBorder="1" applyAlignment="1">
      <alignment horizontal="right" vertical="center" wrapText="1"/>
    </xf>
    <xf numFmtId="10" fontId="1" fillId="2" borderId="2" xfId="0" applyNumberFormat="1" applyFont="1" applyFill="1" applyBorder="1" applyAlignment="1">
      <alignment horizontal="right" vertical="center" wrapText="1"/>
    </xf>
    <xf numFmtId="10" fontId="6" fillId="2" borderId="2" xfId="0" applyNumberFormat="1" applyFont="1" applyFill="1" applyBorder="1" applyAlignment="1">
      <alignment horizontal="right" vertical="center" wrapText="1"/>
    </xf>
    <xf numFmtId="4" fontId="1" fillId="0" borderId="12" xfId="1" applyNumberFormat="1" applyFont="1" applyFill="1" applyBorder="1" applyAlignment="1">
      <alignment horizontal="right" vertical="center" wrapText="1"/>
    </xf>
    <xf numFmtId="4" fontId="3" fillId="0" borderId="12" xfId="1" applyNumberFormat="1" applyFont="1" applyFill="1" applyBorder="1" applyAlignment="1">
      <alignment horizontal="right" vertical="center" wrapText="1"/>
    </xf>
    <xf numFmtId="44" fontId="3" fillId="2" borderId="0" xfId="0" applyFont="1" applyFill="1" applyBorder="1" applyAlignment="1">
      <alignment horizontal="center" vertical="center" wrapText="1"/>
    </xf>
    <xf numFmtId="44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44" fontId="9" fillId="0" borderId="0" xfId="0" applyNumberFormat="1" applyFont="1" applyFill="1" applyAlignment="1">
      <alignment vertical="center" wrapText="1"/>
    </xf>
    <xf numFmtId="44" fontId="9" fillId="0" borderId="0" xfId="0" applyNumberFormat="1" applyFont="1" applyFill="1" applyAlignment="1">
      <alignment horizontal="right" vertical="center"/>
    </xf>
    <xf numFmtId="44" fontId="9" fillId="2" borderId="0" xfId="0" applyFont="1" applyFill="1" applyBorder="1" applyAlignment="1">
      <alignment horizontal="left" vertical="center" wrapText="1"/>
    </xf>
    <xf numFmtId="10" fontId="9" fillId="2" borderId="0" xfId="0" applyNumberFormat="1" applyFont="1" applyFill="1" applyBorder="1" applyAlignment="1">
      <alignment horizontal="right" vertical="center"/>
    </xf>
    <xf numFmtId="44" fontId="3" fillId="0" borderId="0" xfId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4" fontId="9" fillId="0" borderId="0" xfId="1" applyFont="1" applyFill="1" applyBorder="1" applyAlignment="1">
      <alignment horizontal="left" vertical="center" wrapText="1"/>
    </xf>
    <xf numFmtId="10" fontId="9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right" wrapText="1"/>
    </xf>
    <xf numFmtId="0" fontId="1" fillId="0" borderId="0" xfId="1" applyNumberFormat="1" applyFont="1" applyFill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!ОБРАЗЕЦ! 814" xfId="1"/>
  </cellStyles>
  <dxfs count="0"/>
  <tableStyles count="0" defaultTableStyle="TableStyleMedium9" defaultPivotStyle="PivotStyleLight16"/>
  <colors>
    <mruColors>
      <color rgb="FF00FFFF"/>
      <color rgb="FFFF00FF"/>
      <color rgb="FFCC66FF"/>
      <color rgb="FF00FF00"/>
      <color rgb="FFCC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223"/>
  <sheetViews>
    <sheetView tabSelected="1" view="pageBreakPreview" topLeftCell="A172" zoomScale="90" zoomScaleNormal="100" zoomScaleSheetLayoutView="90" workbookViewId="0">
      <selection activeCell="H184" sqref="H184"/>
    </sheetView>
  </sheetViews>
  <sheetFormatPr defaultColWidth="9.33203125" defaultRowHeight="12.75" x14ac:dyDescent="0.2"/>
  <cols>
    <col min="1" max="1" width="45" style="23" customWidth="1"/>
    <col min="2" max="5" width="8.6640625" style="23" customWidth="1"/>
    <col min="6" max="7" width="6.1640625" style="23" customWidth="1"/>
    <col min="8" max="8" width="9.83203125" style="23" customWidth="1"/>
    <col min="9" max="9" width="8.83203125" style="23" customWidth="1"/>
    <col min="10" max="10" width="10.83203125" style="23" customWidth="1"/>
    <col min="11" max="11" width="10.33203125" style="23" customWidth="1"/>
    <col min="12" max="12" width="9.83203125" style="23" customWidth="1"/>
    <col min="13" max="16" width="21" style="23" customWidth="1"/>
    <col min="17" max="16384" width="9.33203125" style="23"/>
  </cols>
  <sheetData>
    <row r="1" spans="1:16" ht="18.75" customHeight="1" x14ac:dyDescent="0.2">
      <c r="A1" s="27" t="s">
        <v>0</v>
      </c>
      <c r="B1" s="27" t="s">
        <v>0</v>
      </c>
      <c r="C1" s="27" t="s">
        <v>0</v>
      </c>
      <c r="D1" s="27" t="s">
        <v>0</v>
      </c>
      <c r="E1" s="27" t="s">
        <v>0</v>
      </c>
      <c r="F1" s="27" t="s">
        <v>0</v>
      </c>
      <c r="G1" s="38" t="s">
        <v>524</v>
      </c>
      <c r="H1" s="38"/>
      <c r="I1" s="38"/>
      <c r="J1" s="38"/>
      <c r="K1" s="38"/>
      <c r="L1" s="38"/>
      <c r="P1" s="75" t="s">
        <v>526</v>
      </c>
    </row>
    <row r="2" spans="1:16" ht="20.100000000000001" hidden="1" customHeight="1" x14ac:dyDescent="0.25">
      <c r="A2" s="27"/>
      <c r="B2" s="27"/>
      <c r="C2" s="27"/>
      <c r="D2" s="27"/>
      <c r="E2" s="27"/>
      <c r="F2" s="27"/>
      <c r="G2" s="176"/>
      <c r="H2" s="176"/>
      <c r="I2" s="176"/>
      <c r="J2" s="176"/>
      <c r="K2" s="176"/>
      <c r="L2" s="176"/>
      <c r="M2" s="176"/>
    </row>
    <row r="3" spans="1:16" ht="16.5" hidden="1" customHeight="1" x14ac:dyDescent="0.2">
      <c r="A3" s="27"/>
      <c r="B3" s="27"/>
      <c r="C3" s="27"/>
      <c r="D3" s="27"/>
      <c r="E3" s="27"/>
      <c r="F3" s="27"/>
      <c r="G3" s="39"/>
      <c r="H3" s="39"/>
      <c r="I3" s="39"/>
      <c r="J3" s="39"/>
      <c r="K3" s="39"/>
      <c r="L3" s="39"/>
      <c r="M3" s="39"/>
    </row>
    <row r="4" spans="1:16" ht="30" customHeight="1" x14ac:dyDescent="0.2">
      <c r="A4" s="177" t="s">
        <v>527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6" ht="18.75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P5" s="81" t="s">
        <v>1</v>
      </c>
    </row>
    <row r="6" spans="1:16" ht="39" customHeight="1" x14ac:dyDescent="0.2">
      <c r="A6" s="20" t="s">
        <v>378</v>
      </c>
      <c r="B6" s="20" t="s">
        <v>2</v>
      </c>
      <c r="C6" s="20" t="s">
        <v>3</v>
      </c>
      <c r="D6" s="20" t="s">
        <v>4</v>
      </c>
      <c r="E6" s="20" t="s">
        <v>5</v>
      </c>
      <c r="F6" s="20" t="s">
        <v>6</v>
      </c>
      <c r="G6" s="20" t="s">
        <v>7</v>
      </c>
      <c r="H6" s="20" t="s">
        <v>8</v>
      </c>
      <c r="I6" s="20" t="s">
        <v>9</v>
      </c>
      <c r="J6" s="21" t="s">
        <v>10</v>
      </c>
      <c r="K6" s="21" t="s">
        <v>11</v>
      </c>
      <c r="L6" s="21" t="s">
        <v>12</v>
      </c>
      <c r="M6" s="76" t="s">
        <v>528</v>
      </c>
      <c r="N6" s="76" t="s">
        <v>529</v>
      </c>
      <c r="O6" s="76" t="s">
        <v>530</v>
      </c>
      <c r="P6" s="36" t="s">
        <v>531</v>
      </c>
    </row>
    <row r="7" spans="1:16" ht="21.6" customHeight="1" x14ac:dyDescent="0.2">
      <c r="A7" s="28" t="s">
        <v>13</v>
      </c>
      <c r="B7" s="28" t="s">
        <v>14</v>
      </c>
      <c r="C7" s="28" t="s">
        <v>15</v>
      </c>
      <c r="D7" s="28" t="s">
        <v>16</v>
      </c>
      <c r="E7" s="28" t="s">
        <v>17</v>
      </c>
      <c r="F7" s="28" t="s">
        <v>18</v>
      </c>
      <c r="G7" s="28" t="s">
        <v>19</v>
      </c>
      <c r="H7" s="28" t="s">
        <v>20</v>
      </c>
      <c r="I7" s="28" t="s">
        <v>21</v>
      </c>
      <c r="J7" s="28" t="s">
        <v>22</v>
      </c>
      <c r="K7" s="28" t="s">
        <v>23</v>
      </c>
      <c r="L7" s="28" t="s">
        <v>24</v>
      </c>
      <c r="M7" s="77" t="s">
        <v>25</v>
      </c>
      <c r="N7" s="77" t="s">
        <v>72</v>
      </c>
      <c r="O7" s="77" t="s">
        <v>54</v>
      </c>
      <c r="P7" s="36" t="s">
        <v>70</v>
      </c>
    </row>
    <row r="8" spans="1:16" ht="15.75" x14ac:dyDescent="0.2">
      <c r="A8" s="29" t="s">
        <v>317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78">
        <f>M176+M30+M151+M84+M70+M45+M163+M9+M61</f>
        <v>1475124531.5700002</v>
      </c>
      <c r="N8" s="78">
        <f t="shared" ref="N8:O8" si="0">N176+N30+N151+N84+N70+N45+N163+N9+N61</f>
        <v>1280745449.7</v>
      </c>
      <c r="O8" s="78">
        <f t="shared" si="0"/>
        <v>1360463151.3999999</v>
      </c>
      <c r="P8" s="155">
        <f>O8/M8</f>
        <v>0.92227003367101201</v>
      </c>
    </row>
    <row r="9" spans="1:16" ht="78.75" x14ac:dyDescent="0.2">
      <c r="A9" s="31" t="s">
        <v>26</v>
      </c>
      <c r="B9" s="32" t="s">
        <v>24</v>
      </c>
      <c r="C9" s="32" t="s">
        <v>0</v>
      </c>
      <c r="D9" s="32" t="s">
        <v>0</v>
      </c>
      <c r="E9" s="32" t="s">
        <v>0</v>
      </c>
      <c r="F9" s="32" t="s">
        <v>0</v>
      </c>
      <c r="G9" s="32" t="s">
        <v>0</v>
      </c>
      <c r="H9" s="33" t="s">
        <v>0</v>
      </c>
      <c r="I9" s="33" t="s">
        <v>0</v>
      </c>
      <c r="J9" s="33" t="s">
        <v>0</v>
      </c>
      <c r="K9" s="33" t="s">
        <v>0</v>
      </c>
      <c r="L9" s="34" t="s">
        <v>0</v>
      </c>
      <c r="M9" s="78">
        <f t="shared" ref="M9:O15" si="1">M10</f>
        <v>199999999.99999997</v>
      </c>
      <c r="N9" s="78">
        <f t="shared" si="1"/>
        <v>84043372.159999996</v>
      </c>
      <c r="O9" s="78">
        <f t="shared" si="1"/>
        <v>163114116.09999999</v>
      </c>
      <c r="P9" s="155">
        <f t="shared" ref="P9:P72" si="2">O9/M9</f>
        <v>0.81557058050000009</v>
      </c>
    </row>
    <row r="10" spans="1:16" ht="78.75" x14ac:dyDescent="0.2">
      <c r="A10" s="19" t="s">
        <v>27</v>
      </c>
      <c r="B10" s="24" t="s">
        <v>24</v>
      </c>
      <c r="C10" s="24" t="s">
        <v>28</v>
      </c>
      <c r="D10" s="24" t="s">
        <v>24</v>
      </c>
      <c r="E10" s="24" t="s">
        <v>0</v>
      </c>
      <c r="F10" s="24" t="s">
        <v>0</v>
      </c>
      <c r="G10" s="24" t="s">
        <v>0</v>
      </c>
      <c r="H10" s="25" t="s">
        <v>0</v>
      </c>
      <c r="I10" s="25" t="s">
        <v>0</v>
      </c>
      <c r="J10" s="25" t="s">
        <v>0</v>
      </c>
      <c r="K10" s="25" t="s">
        <v>0</v>
      </c>
      <c r="L10" s="25" t="s">
        <v>0</v>
      </c>
      <c r="M10" s="79">
        <f t="shared" si="1"/>
        <v>199999999.99999997</v>
      </c>
      <c r="N10" s="79">
        <f t="shared" si="1"/>
        <v>84043372.159999996</v>
      </c>
      <c r="O10" s="79">
        <f t="shared" si="1"/>
        <v>163114116.09999999</v>
      </c>
      <c r="P10" s="155">
        <f t="shared" si="2"/>
        <v>0.81557058050000009</v>
      </c>
    </row>
    <row r="11" spans="1:16" ht="63" x14ac:dyDescent="0.2">
      <c r="A11" s="19" t="s">
        <v>29</v>
      </c>
      <c r="B11" s="24" t="s">
        <v>24</v>
      </c>
      <c r="C11" s="24" t="s">
        <v>28</v>
      </c>
      <c r="D11" s="24" t="s">
        <v>24</v>
      </c>
      <c r="E11" s="24" t="s">
        <v>30</v>
      </c>
      <c r="F11" s="24" t="s">
        <v>0</v>
      </c>
      <c r="G11" s="24" t="s">
        <v>0</v>
      </c>
      <c r="H11" s="25" t="s">
        <v>0</v>
      </c>
      <c r="I11" s="25" t="s">
        <v>0</v>
      </c>
      <c r="J11" s="25" t="s">
        <v>0</v>
      </c>
      <c r="K11" s="25" t="s">
        <v>0</v>
      </c>
      <c r="L11" s="25" t="s">
        <v>0</v>
      </c>
      <c r="M11" s="80">
        <f t="shared" si="1"/>
        <v>199999999.99999997</v>
      </c>
      <c r="N11" s="80">
        <f t="shared" si="1"/>
        <v>84043372.159999996</v>
      </c>
      <c r="O11" s="80">
        <f t="shared" si="1"/>
        <v>163114116.09999999</v>
      </c>
      <c r="P11" s="155">
        <f t="shared" si="2"/>
        <v>0.81557058050000009</v>
      </c>
    </row>
    <row r="12" spans="1:16" ht="63" x14ac:dyDescent="0.2">
      <c r="A12" s="19" t="s">
        <v>286</v>
      </c>
      <c r="B12" s="24" t="s">
        <v>24</v>
      </c>
      <c r="C12" s="24" t="s">
        <v>28</v>
      </c>
      <c r="D12" s="24" t="s">
        <v>24</v>
      </c>
      <c r="E12" s="24" t="s">
        <v>30</v>
      </c>
      <c r="F12" s="24" t="s">
        <v>0</v>
      </c>
      <c r="G12" s="24" t="s">
        <v>0</v>
      </c>
      <c r="H12" s="25" t="s">
        <v>0</v>
      </c>
      <c r="I12" s="25" t="s">
        <v>0</v>
      </c>
      <c r="J12" s="25" t="s">
        <v>0</v>
      </c>
      <c r="K12" s="25" t="s">
        <v>0</v>
      </c>
      <c r="L12" s="25" t="s">
        <v>0</v>
      </c>
      <c r="M12" s="80">
        <f t="shared" si="1"/>
        <v>199999999.99999997</v>
      </c>
      <c r="N12" s="80">
        <f t="shared" si="1"/>
        <v>84043372.159999996</v>
      </c>
      <c r="O12" s="80">
        <f t="shared" si="1"/>
        <v>163114116.09999999</v>
      </c>
      <c r="P12" s="155">
        <f t="shared" si="2"/>
        <v>0.81557058050000009</v>
      </c>
    </row>
    <row r="13" spans="1:16" ht="31.5" x14ac:dyDescent="0.2">
      <c r="A13" s="26" t="s">
        <v>31</v>
      </c>
      <c r="B13" s="24" t="s">
        <v>24</v>
      </c>
      <c r="C13" s="24" t="s">
        <v>28</v>
      </c>
      <c r="D13" s="24" t="s">
        <v>24</v>
      </c>
      <c r="E13" s="24" t="s">
        <v>30</v>
      </c>
      <c r="F13" s="24" t="s">
        <v>32</v>
      </c>
      <c r="G13" s="24" t="s">
        <v>0</v>
      </c>
      <c r="H13" s="24" t="s">
        <v>0</v>
      </c>
      <c r="I13" s="24" t="s">
        <v>0</v>
      </c>
      <c r="J13" s="24" t="s">
        <v>0</v>
      </c>
      <c r="K13" s="24" t="s">
        <v>0</v>
      </c>
      <c r="L13" s="24" t="s">
        <v>0</v>
      </c>
      <c r="M13" s="80">
        <f t="shared" si="1"/>
        <v>199999999.99999997</v>
      </c>
      <c r="N13" s="80">
        <f t="shared" si="1"/>
        <v>84043372.159999996</v>
      </c>
      <c r="O13" s="80">
        <f t="shared" si="1"/>
        <v>163114116.09999999</v>
      </c>
      <c r="P13" s="155">
        <f t="shared" si="2"/>
        <v>0.81557058050000009</v>
      </c>
    </row>
    <row r="14" spans="1:16" ht="15.75" x14ac:dyDescent="0.2">
      <c r="A14" s="26" t="s">
        <v>33</v>
      </c>
      <c r="B14" s="24" t="s">
        <v>24</v>
      </c>
      <c r="C14" s="24" t="s">
        <v>28</v>
      </c>
      <c r="D14" s="24" t="s">
        <v>24</v>
      </c>
      <c r="E14" s="24" t="s">
        <v>30</v>
      </c>
      <c r="F14" s="24" t="s">
        <v>32</v>
      </c>
      <c r="G14" s="24" t="s">
        <v>34</v>
      </c>
      <c r="H14" s="24" t="s">
        <v>0</v>
      </c>
      <c r="I14" s="24" t="s">
        <v>0</v>
      </c>
      <c r="J14" s="24" t="s">
        <v>0</v>
      </c>
      <c r="K14" s="24" t="s">
        <v>0</v>
      </c>
      <c r="L14" s="24" t="s">
        <v>0</v>
      </c>
      <c r="M14" s="80">
        <f t="shared" si="1"/>
        <v>199999999.99999997</v>
      </c>
      <c r="N14" s="80">
        <f t="shared" si="1"/>
        <v>84043372.159999996</v>
      </c>
      <c r="O14" s="80">
        <f t="shared" si="1"/>
        <v>163114116.09999999</v>
      </c>
      <c r="P14" s="155">
        <f t="shared" si="2"/>
        <v>0.81557058050000009</v>
      </c>
    </row>
    <row r="15" spans="1:16" ht="47.25" x14ac:dyDescent="0.2">
      <c r="A15" s="19" t="s">
        <v>35</v>
      </c>
      <c r="B15" s="24" t="s">
        <v>24</v>
      </c>
      <c r="C15" s="24" t="s">
        <v>28</v>
      </c>
      <c r="D15" s="24" t="s">
        <v>24</v>
      </c>
      <c r="E15" s="24" t="s">
        <v>30</v>
      </c>
      <c r="F15" s="24" t="s">
        <v>32</v>
      </c>
      <c r="G15" s="24" t="s">
        <v>34</v>
      </c>
      <c r="H15" s="24" t="s">
        <v>36</v>
      </c>
      <c r="I15" s="25" t="s">
        <v>0</v>
      </c>
      <c r="J15" s="25" t="s">
        <v>0</v>
      </c>
      <c r="K15" s="25" t="s">
        <v>0</v>
      </c>
      <c r="L15" s="25" t="s">
        <v>0</v>
      </c>
      <c r="M15" s="80">
        <f t="shared" si="1"/>
        <v>199999999.99999997</v>
      </c>
      <c r="N15" s="80">
        <f t="shared" si="1"/>
        <v>84043372.159999996</v>
      </c>
      <c r="O15" s="80">
        <f t="shared" si="1"/>
        <v>163114116.09999999</v>
      </c>
      <c r="P15" s="155">
        <f t="shared" si="2"/>
        <v>0.81557058050000009</v>
      </c>
    </row>
    <row r="16" spans="1:16" ht="110.25" x14ac:dyDescent="0.2">
      <c r="A16" s="19" t="s">
        <v>491</v>
      </c>
      <c r="B16" s="24" t="s">
        <v>24</v>
      </c>
      <c r="C16" s="24" t="s">
        <v>28</v>
      </c>
      <c r="D16" s="24" t="s">
        <v>24</v>
      </c>
      <c r="E16" s="24" t="s">
        <v>30</v>
      </c>
      <c r="F16" s="24" t="s">
        <v>32</v>
      </c>
      <c r="G16" s="24" t="s">
        <v>34</v>
      </c>
      <c r="H16" s="24" t="s">
        <v>36</v>
      </c>
      <c r="I16" s="24" t="s">
        <v>37</v>
      </c>
      <c r="J16" s="24" t="s">
        <v>0</v>
      </c>
      <c r="K16" s="24" t="s">
        <v>0</v>
      </c>
      <c r="L16" s="24" t="s">
        <v>0</v>
      </c>
      <c r="M16" s="80">
        <f>M17+M18+M19+M20+M21+M22+M23+M24+M25+M26+M27+M28+M29</f>
        <v>199999999.99999997</v>
      </c>
      <c r="N16" s="80">
        <f t="shared" ref="N16:O16" si="3">N17+N18+N19+N20+N21+N22+N23+N24+N25+N26+N27+N28+N29</f>
        <v>84043372.159999996</v>
      </c>
      <c r="O16" s="80">
        <f t="shared" si="3"/>
        <v>163114116.09999999</v>
      </c>
      <c r="P16" s="155">
        <f t="shared" si="2"/>
        <v>0.81557058050000009</v>
      </c>
    </row>
    <row r="17" spans="1:16" s="101" customFormat="1" ht="47.25" x14ac:dyDescent="0.2">
      <c r="A17" s="96" t="s">
        <v>38</v>
      </c>
      <c r="B17" s="97" t="s">
        <v>24</v>
      </c>
      <c r="C17" s="97" t="s">
        <v>28</v>
      </c>
      <c r="D17" s="97" t="s">
        <v>24</v>
      </c>
      <c r="E17" s="97" t="s">
        <v>30</v>
      </c>
      <c r="F17" s="97" t="s">
        <v>32</v>
      </c>
      <c r="G17" s="97" t="s">
        <v>34</v>
      </c>
      <c r="H17" s="97" t="s">
        <v>36</v>
      </c>
      <c r="I17" s="97" t="s">
        <v>37</v>
      </c>
      <c r="J17" s="98" t="s">
        <v>39</v>
      </c>
      <c r="K17" s="98" t="s">
        <v>496</v>
      </c>
      <c r="L17" s="98">
        <v>2018</v>
      </c>
      <c r="M17" s="99">
        <f>34750000+8394978.3</f>
        <v>43144978.299999997</v>
      </c>
      <c r="N17" s="100">
        <v>25363514.719999999</v>
      </c>
      <c r="O17" s="141">
        <v>25363514.719999999</v>
      </c>
      <c r="P17" s="156">
        <f t="shared" si="2"/>
        <v>0.58786713354309417</v>
      </c>
    </row>
    <row r="18" spans="1:16" s="101" customFormat="1" ht="78.75" x14ac:dyDescent="0.2">
      <c r="A18" s="96" t="s">
        <v>40</v>
      </c>
      <c r="B18" s="97" t="s">
        <v>24</v>
      </c>
      <c r="C18" s="97" t="s">
        <v>28</v>
      </c>
      <c r="D18" s="97" t="s">
        <v>24</v>
      </c>
      <c r="E18" s="97" t="s">
        <v>30</v>
      </c>
      <c r="F18" s="97" t="s">
        <v>32</v>
      </c>
      <c r="G18" s="97" t="s">
        <v>34</v>
      </c>
      <c r="H18" s="97" t="s">
        <v>36</v>
      </c>
      <c r="I18" s="97" t="s">
        <v>37</v>
      </c>
      <c r="J18" s="98" t="s">
        <v>39</v>
      </c>
      <c r="K18" s="98" t="s">
        <v>497</v>
      </c>
      <c r="L18" s="98">
        <v>2018</v>
      </c>
      <c r="M18" s="99">
        <f>9371788.64+18473578</f>
        <v>27845366.640000001</v>
      </c>
      <c r="N18" s="100">
        <v>9529709.3100000005</v>
      </c>
      <c r="O18" s="141">
        <v>27845366.640000001</v>
      </c>
      <c r="P18" s="156">
        <f t="shared" si="2"/>
        <v>1</v>
      </c>
    </row>
    <row r="19" spans="1:16" s="101" customFormat="1" ht="47.25" x14ac:dyDescent="0.2">
      <c r="A19" s="96" t="s">
        <v>42</v>
      </c>
      <c r="B19" s="97" t="s">
        <v>24</v>
      </c>
      <c r="C19" s="97" t="s">
        <v>28</v>
      </c>
      <c r="D19" s="97" t="s">
        <v>24</v>
      </c>
      <c r="E19" s="97" t="s">
        <v>30</v>
      </c>
      <c r="F19" s="97" t="s">
        <v>32</v>
      </c>
      <c r="G19" s="97" t="s">
        <v>34</v>
      </c>
      <c r="H19" s="97" t="s">
        <v>36</v>
      </c>
      <c r="I19" s="97" t="s">
        <v>37</v>
      </c>
      <c r="J19" s="98" t="s">
        <v>39</v>
      </c>
      <c r="K19" s="98" t="s">
        <v>43</v>
      </c>
      <c r="L19" s="98">
        <v>2018</v>
      </c>
      <c r="M19" s="99">
        <v>13550000</v>
      </c>
      <c r="N19" s="100">
        <v>0</v>
      </c>
      <c r="O19" s="141">
        <v>0</v>
      </c>
      <c r="P19" s="156">
        <f t="shared" si="2"/>
        <v>0</v>
      </c>
    </row>
    <row r="20" spans="1:16" s="101" customFormat="1" ht="47.25" x14ac:dyDescent="0.2">
      <c r="A20" s="96" t="s">
        <v>44</v>
      </c>
      <c r="B20" s="97" t="s">
        <v>24</v>
      </c>
      <c r="C20" s="97" t="s">
        <v>28</v>
      </c>
      <c r="D20" s="97" t="s">
        <v>24</v>
      </c>
      <c r="E20" s="97" t="s">
        <v>30</v>
      </c>
      <c r="F20" s="97" t="s">
        <v>32</v>
      </c>
      <c r="G20" s="97" t="s">
        <v>34</v>
      </c>
      <c r="H20" s="97" t="s">
        <v>36</v>
      </c>
      <c r="I20" s="97" t="s">
        <v>37</v>
      </c>
      <c r="J20" s="98" t="s">
        <v>39</v>
      </c>
      <c r="K20" s="98" t="s">
        <v>498</v>
      </c>
      <c r="L20" s="98">
        <v>2018</v>
      </c>
      <c r="M20" s="99">
        <v>26264620</v>
      </c>
      <c r="N20" s="100">
        <v>0</v>
      </c>
      <c r="O20" s="141">
        <v>26264620</v>
      </c>
      <c r="P20" s="156">
        <f t="shared" si="2"/>
        <v>1</v>
      </c>
    </row>
    <row r="21" spans="1:16" s="101" customFormat="1" ht="47.25" x14ac:dyDescent="0.2">
      <c r="A21" s="96" t="s">
        <v>45</v>
      </c>
      <c r="B21" s="97" t="s">
        <v>24</v>
      </c>
      <c r="C21" s="97" t="s">
        <v>28</v>
      </c>
      <c r="D21" s="97" t="s">
        <v>24</v>
      </c>
      <c r="E21" s="97" t="s">
        <v>30</v>
      </c>
      <c r="F21" s="97" t="s">
        <v>32</v>
      </c>
      <c r="G21" s="97" t="s">
        <v>34</v>
      </c>
      <c r="H21" s="97" t="s">
        <v>36</v>
      </c>
      <c r="I21" s="97" t="s">
        <v>37</v>
      </c>
      <c r="J21" s="98" t="s">
        <v>41</v>
      </c>
      <c r="K21" s="98">
        <v>4.5999999999999996</v>
      </c>
      <c r="L21" s="98">
        <v>2018</v>
      </c>
      <c r="M21" s="99">
        <v>14059960</v>
      </c>
      <c r="N21" s="100">
        <v>11893856.369999999</v>
      </c>
      <c r="O21" s="141">
        <v>11893856.369999999</v>
      </c>
      <c r="P21" s="156">
        <f t="shared" si="2"/>
        <v>0.84593813709285082</v>
      </c>
    </row>
    <row r="22" spans="1:16" s="101" customFormat="1" ht="47.25" x14ac:dyDescent="0.2">
      <c r="A22" s="96" t="s">
        <v>46</v>
      </c>
      <c r="B22" s="97" t="s">
        <v>24</v>
      </c>
      <c r="C22" s="97" t="s">
        <v>28</v>
      </c>
      <c r="D22" s="97" t="s">
        <v>24</v>
      </c>
      <c r="E22" s="97" t="s">
        <v>30</v>
      </c>
      <c r="F22" s="97" t="s">
        <v>32</v>
      </c>
      <c r="G22" s="97" t="s">
        <v>34</v>
      </c>
      <c r="H22" s="97" t="s">
        <v>36</v>
      </c>
      <c r="I22" s="97" t="s">
        <v>37</v>
      </c>
      <c r="J22" s="98" t="s">
        <v>41</v>
      </c>
      <c r="K22" s="98">
        <v>4.8</v>
      </c>
      <c r="L22" s="98">
        <v>2018</v>
      </c>
      <c r="M22" s="99">
        <v>15964686.699999999</v>
      </c>
      <c r="N22" s="100">
        <v>15964686.1</v>
      </c>
      <c r="O22" s="141">
        <v>15964686.1</v>
      </c>
      <c r="P22" s="156">
        <f t="shared" si="2"/>
        <v>0.99999996241705136</v>
      </c>
    </row>
    <row r="23" spans="1:16" s="101" customFormat="1" ht="47.25" x14ac:dyDescent="0.2">
      <c r="A23" s="96" t="s">
        <v>47</v>
      </c>
      <c r="B23" s="97" t="s">
        <v>24</v>
      </c>
      <c r="C23" s="97" t="s">
        <v>28</v>
      </c>
      <c r="D23" s="97" t="s">
        <v>24</v>
      </c>
      <c r="E23" s="97" t="s">
        <v>30</v>
      </c>
      <c r="F23" s="97" t="s">
        <v>32</v>
      </c>
      <c r="G23" s="97" t="s">
        <v>34</v>
      </c>
      <c r="H23" s="97" t="s">
        <v>36</v>
      </c>
      <c r="I23" s="97" t="s">
        <v>37</v>
      </c>
      <c r="J23" s="98" t="s">
        <v>41</v>
      </c>
      <c r="K23" s="98" t="s">
        <v>13</v>
      </c>
      <c r="L23" s="98">
        <v>2018</v>
      </c>
      <c r="M23" s="99">
        <v>6350991.2800000003</v>
      </c>
      <c r="N23" s="100">
        <v>5270547.8</v>
      </c>
      <c r="O23" s="141">
        <v>5270547.8</v>
      </c>
      <c r="P23" s="156">
        <f t="shared" si="2"/>
        <v>0.82987797772570704</v>
      </c>
    </row>
    <row r="24" spans="1:16" s="101" customFormat="1" ht="47.25" x14ac:dyDescent="0.2">
      <c r="A24" s="96" t="s">
        <v>48</v>
      </c>
      <c r="B24" s="97" t="s">
        <v>24</v>
      </c>
      <c r="C24" s="97" t="s">
        <v>28</v>
      </c>
      <c r="D24" s="97" t="s">
        <v>24</v>
      </c>
      <c r="E24" s="97" t="s">
        <v>30</v>
      </c>
      <c r="F24" s="97" t="s">
        <v>32</v>
      </c>
      <c r="G24" s="97" t="s">
        <v>34</v>
      </c>
      <c r="H24" s="97" t="s">
        <v>36</v>
      </c>
      <c r="I24" s="97" t="s">
        <v>37</v>
      </c>
      <c r="J24" s="98" t="s">
        <v>41</v>
      </c>
      <c r="K24" s="98">
        <v>6</v>
      </c>
      <c r="L24" s="98">
        <v>2018</v>
      </c>
      <c r="M24" s="99">
        <v>764494.88</v>
      </c>
      <c r="N24" s="100">
        <v>0</v>
      </c>
      <c r="O24" s="141">
        <v>0</v>
      </c>
      <c r="P24" s="156">
        <f t="shared" si="2"/>
        <v>0</v>
      </c>
    </row>
    <row r="25" spans="1:16" s="101" customFormat="1" ht="78.75" x14ac:dyDescent="0.2">
      <c r="A25" s="96" t="s">
        <v>398</v>
      </c>
      <c r="B25" s="97" t="s">
        <v>24</v>
      </c>
      <c r="C25" s="97" t="s">
        <v>28</v>
      </c>
      <c r="D25" s="97" t="s">
        <v>24</v>
      </c>
      <c r="E25" s="97" t="s">
        <v>30</v>
      </c>
      <c r="F25" s="97" t="s">
        <v>32</v>
      </c>
      <c r="G25" s="97" t="s">
        <v>34</v>
      </c>
      <c r="H25" s="97" t="s">
        <v>36</v>
      </c>
      <c r="I25" s="97" t="s">
        <v>37</v>
      </c>
      <c r="J25" s="98" t="s">
        <v>39</v>
      </c>
      <c r="K25" s="98" t="s">
        <v>499</v>
      </c>
      <c r="L25" s="98">
        <v>2018</v>
      </c>
      <c r="M25" s="99">
        <v>18158374.989999998</v>
      </c>
      <c r="N25" s="100">
        <v>3254543.84</v>
      </c>
      <c r="O25" s="141">
        <v>18158374.989999998</v>
      </c>
      <c r="P25" s="156">
        <f t="shared" si="2"/>
        <v>1</v>
      </c>
    </row>
    <row r="26" spans="1:16" s="101" customFormat="1" ht="78.75" x14ac:dyDescent="0.2">
      <c r="A26" s="96" t="s">
        <v>49</v>
      </c>
      <c r="B26" s="97" t="s">
        <v>24</v>
      </c>
      <c r="C26" s="97" t="s">
        <v>28</v>
      </c>
      <c r="D26" s="97" t="s">
        <v>24</v>
      </c>
      <c r="E26" s="97" t="s">
        <v>30</v>
      </c>
      <c r="F26" s="97" t="s">
        <v>32</v>
      </c>
      <c r="G26" s="97" t="s">
        <v>34</v>
      </c>
      <c r="H26" s="97" t="s">
        <v>36</v>
      </c>
      <c r="I26" s="97" t="s">
        <v>37</v>
      </c>
      <c r="J26" s="98" t="s">
        <v>39</v>
      </c>
      <c r="K26" s="98" t="s">
        <v>500</v>
      </c>
      <c r="L26" s="98">
        <v>2018</v>
      </c>
      <c r="M26" s="99">
        <v>7249939.1900000004</v>
      </c>
      <c r="N26" s="100">
        <v>5612113.9100000001</v>
      </c>
      <c r="O26" s="141">
        <v>7249939.1900000004</v>
      </c>
      <c r="P26" s="156">
        <f t="shared" si="2"/>
        <v>1</v>
      </c>
    </row>
    <row r="27" spans="1:16" s="101" customFormat="1" ht="78.75" x14ac:dyDescent="0.2">
      <c r="A27" s="96" t="s">
        <v>50</v>
      </c>
      <c r="B27" s="97" t="s">
        <v>24</v>
      </c>
      <c r="C27" s="97" t="s">
        <v>28</v>
      </c>
      <c r="D27" s="97" t="s">
        <v>24</v>
      </c>
      <c r="E27" s="97" t="s">
        <v>30</v>
      </c>
      <c r="F27" s="97" t="s">
        <v>32</v>
      </c>
      <c r="G27" s="97" t="s">
        <v>34</v>
      </c>
      <c r="H27" s="97" t="s">
        <v>36</v>
      </c>
      <c r="I27" s="97" t="s">
        <v>37</v>
      </c>
      <c r="J27" s="98" t="s">
        <v>39</v>
      </c>
      <c r="K27" s="98" t="s">
        <v>501</v>
      </c>
      <c r="L27" s="98">
        <v>2018</v>
      </c>
      <c r="M27" s="99">
        <v>6696405.9500000002</v>
      </c>
      <c r="N27" s="100">
        <v>42538.54</v>
      </c>
      <c r="O27" s="141">
        <v>6696405.9500000002</v>
      </c>
      <c r="P27" s="156">
        <f t="shared" si="2"/>
        <v>1</v>
      </c>
    </row>
    <row r="28" spans="1:16" s="101" customFormat="1" ht="94.5" x14ac:dyDescent="0.2">
      <c r="A28" s="96" t="s">
        <v>51</v>
      </c>
      <c r="B28" s="97" t="s">
        <v>24</v>
      </c>
      <c r="C28" s="97" t="s">
        <v>28</v>
      </c>
      <c r="D28" s="97" t="s">
        <v>24</v>
      </c>
      <c r="E28" s="97" t="s">
        <v>30</v>
      </c>
      <c r="F28" s="97" t="s">
        <v>32</v>
      </c>
      <c r="G28" s="97" t="s">
        <v>34</v>
      </c>
      <c r="H28" s="97" t="s">
        <v>36</v>
      </c>
      <c r="I28" s="97" t="s">
        <v>37</v>
      </c>
      <c r="J28" s="98" t="s">
        <v>39</v>
      </c>
      <c r="K28" s="98" t="s">
        <v>502</v>
      </c>
      <c r="L28" s="98">
        <v>2018</v>
      </c>
      <c r="M28" s="99">
        <v>8178950</v>
      </c>
      <c r="N28" s="100">
        <v>6635572.2699999996</v>
      </c>
      <c r="O28" s="141">
        <v>6635572.2699999996</v>
      </c>
      <c r="P28" s="156">
        <f t="shared" si="2"/>
        <v>0.81129879385495685</v>
      </c>
    </row>
    <row r="29" spans="1:16" s="101" customFormat="1" ht="78.75" x14ac:dyDescent="0.2">
      <c r="A29" s="96" t="s">
        <v>52</v>
      </c>
      <c r="B29" s="97" t="s">
        <v>24</v>
      </c>
      <c r="C29" s="97" t="s">
        <v>28</v>
      </c>
      <c r="D29" s="97" t="s">
        <v>24</v>
      </c>
      <c r="E29" s="97" t="s">
        <v>30</v>
      </c>
      <c r="F29" s="97" t="s">
        <v>32</v>
      </c>
      <c r="G29" s="97" t="s">
        <v>34</v>
      </c>
      <c r="H29" s="97" t="s">
        <v>36</v>
      </c>
      <c r="I29" s="97" t="s">
        <v>37</v>
      </c>
      <c r="J29" s="98" t="s">
        <v>39</v>
      </c>
      <c r="K29" s="98" t="s">
        <v>503</v>
      </c>
      <c r="L29" s="98">
        <v>2018</v>
      </c>
      <c r="M29" s="99">
        <f>9285000+2486232.07</f>
        <v>11771232.07</v>
      </c>
      <c r="N29" s="100">
        <v>476289.3</v>
      </c>
      <c r="O29" s="141">
        <v>11771232.07</v>
      </c>
      <c r="P29" s="156">
        <f t="shared" si="2"/>
        <v>1</v>
      </c>
    </row>
    <row r="30" spans="1:16" s="106" customFormat="1" ht="47.25" x14ac:dyDescent="0.2">
      <c r="A30" s="102" t="s">
        <v>262</v>
      </c>
      <c r="B30" s="103" t="s">
        <v>72</v>
      </c>
      <c r="C30" s="103" t="s">
        <v>0</v>
      </c>
      <c r="D30" s="103" t="s">
        <v>0</v>
      </c>
      <c r="E30" s="103" t="s">
        <v>0</v>
      </c>
      <c r="F30" s="103" t="s">
        <v>0</v>
      </c>
      <c r="G30" s="103" t="s">
        <v>0</v>
      </c>
      <c r="H30" s="104" t="s">
        <v>0</v>
      </c>
      <c r="I30" s="104" t="s">
        <v>0</v>
      </c>
      <c r="J30" s="104" t="s">
        <v>0</v>
      </c>
      <c r="K30" s="104" t="s">
        <v>0</v>
      </c>
      <c r="L30" s="104" t="s">
        <v>0</v>
      </c>
      <c r="M30" s="105">
        <f>M31</f>
        <v>63053478.980000004</v>
      </c>
      <c r="N30" s="105">
        <f t="shared" ref="N30:O33" si="4">N31</f>
        <v>56430143.810000002</v>
      </c>
      <c r="O30" s="105">
        <f t="shared" si="4"/>
        <v>57077101.57</v>
      </c>
      <c r="P30" s="157">
        <f t="shared" si="2"/>
        <v>0.90521732493308327</v>
      </c>
    </row>
    <row r="31" spans="1:16" s="106" customFormat="1" ht="31.5" x14ac:dyDescent="0.2">
      <c r="A31" s="102" t="s">
        <v>263</v>
      </c>
      <c r="B31" s="103" t="s">
        <v>72</v>
      </c>
      <c r="C31" s="103" t="s">
        <v>28</v>
      </c>
      <c r="D31" s="103" t="s">
        <v>264</v>
      </c>
      <c r="E31" s="103" t="s">
        <v>0</v>
      </c>
      <c r="F31" s="103" t="s">
        <v>0</v>
      </c>
      <c r="G31" s="103" t="s">
        <v>0</v>
      </c>
      <c r="H31" s="104" t="s">
        <v>0</v>
      </c>
      <c r="I31" s="104" t="s">
        <v>0</v>
      </c>
      <c r="J31" s="104" t="s">
        <v>0</v>
      </c>
      <c r="K31" s="104" t="s">
        <v>0</v>
      </c>
      <c r="L31" s="104" t="s">
        <v>0</v>
      </c>
      <c r="M31" s="105">
        <f>M32</f>
        <v>63053478.980000004</v>
      </c>
      <c r="N31" s="105">
        <f t="shared" si="4"/>
        <v>56430143.810000002</v>
      </c>
      <c r="O31" s="105">
        <f t="shared" si="4"/>
        <v>57077101.57</v>
      </c>
      <c r="P31" s="157">
        <f t="shared" si="2"/>
        <v>0.90521732493308327</v>
      </c>
    </row>
    <row r="32" spans="1:16" s="106" customFormat="1" ht="31.5" x14ac:dyDescent="0.2">
      <c r="A32" s="102" t="s">
        <v>297</v>
      </c>
      <c r="B32" s="103" t="s">
        <v>72</v>
      </c>
      <c r="C32" s="103" t="s">
        <v>28</v>
      </c>
      <c r="D32" s="103" t="s">
        <v>264</v>
      </c>
      <c r="E32" s="103" t="s">
        <v>66</v>
      </c>
      <c r="F32" s="103" t="s">
        <v>0</v>
      </c>
      <c r="G32" s="103" t="s">
        <v>0</v>
      </c>
      <c r="H32" s="104" t="s">
        <v>0</v>
      </c>
      <c r="I32" s="104" t="s">
        <v>0</v>
      </c>
      <c r="J32" s="104" t="s">
        <v>0</v>
      </c>
      <c r="K32" s="104" t="s">
        <v>0</v>
      </c>
      <c r="L32" s="104" t="s">
        <v>0</v>
      </c>
      <c r="M32" s="105">
        <f>M33</f>
        <v>63053478.980000004</v>
      </c>
      <c r="N32" s="105">
        <f t="shared" si="4"/>
        <v>56430143.810000002</v>
      </c>
      <c r="O32" s="105">
        <f t="shared" si="4"/>
        <v>57077101.57</v>
      </c>
      <c r="P32" s="157">
        <f t="shared" si="2"/>
        <v>0.90521732493308327</v>
      </c>
    </row>
    <row r="33" spans="1:16" s="106" customFormat="1" ht="78.75" x14ac:dyDescent="0.2">
      <c r="A33" s="102" t="s">
        <v>287</v>
      </c>
      <c r="B33" s="103" t="s">
        <v>72</v>
      </c>
      <c r="C33" s="103" t="s">
        <v>28</v>
      </c>
      <c r="D33" s="103" t="s">
        <v>264</v>
      </c>
      <c r="E33" s="103" t="s">
        <v>66</v>
      </c>
      <c r="F33" s="103" t="s">
        <v>0</v>
      </c>
      <c r="G33" s="103" t="s">
        <v>0</v>
      </c>
      <c r="H33" s="104" t="s">
        <v>0</v>
      </c>
      <c r="I33" s="104" t="s">
        <v>0</v>
      </c>
      <c r="J33" s="104" t="s">
        <v>0</v>
      </c>
      <c r="K33" s="104" t="s">
        <v>0</v>
      </c>
      <c r="L33" s="104" t="s">
        <v>0</v>
      </c>
      <c r="M33" s="105">
        <f>M34</f>
        <v>63053478.980000004</v>
      </c>
      <c r="N33" s="105">
        <f t="shared" si="4"/>
        <v>56430143.810000002</v>
      </c>
      <c r="O33" s="105">
        <f t="shared" si="4"/>
        <v>57077101.57</v>
      </c>
      <c r="P33" s="157">
        <f t="shared" si="2"/>
        <v>0.90521732493308327</v>
      </c>
    </row>
    <row r="34" spans="1:16" s="106" customFormat="1" ht="15.75" x14ac:dyDescent="0.2">
      <c r="A34" s="107" t="s">
        <v>265</v>
      </c>
      <c r="B34" s="103" t="s">
        <v>72</v>
      </c>
      <c r="C34" s="103" t="s">
        <v>28</v>
      </c>
      <c r="D34" s="103" t="s">
        <v>264</v>
      </c>
      <c r="E34" s="103" t="s">
        <v>66</v>
      </c>
      <c r="F34" s="103" t="s">
        <v>91</v>
      </c>
      <c r="G34" s="103" t="s">
        <v>0</v>
      </c>
      <c r="H34" s="103" t="s">
        <v>0</v>
      </c>
      <c r="I34" s="103" t="s">
        <v>0</v>
      </c>
      <c r="J34" s="103" t="s">
        <v>0</v>
      </c>
      <c r="K34" s="103" t="s">
        <v>0</v>
      </c>
      <c r="L34" s="103" t="s">
        <v>0</v>
      </c>
      <c r="M34" s="105">
        <f>M35+M40</f>
        <v>63053478.980000004</v>
      </c>
      <c r="N34" s="105">
        <f t="shared" ref="N34:O34" si="5">N35+N40</f>
        <v>56430143.810000002</v>
      </c>
      <c r="O34" s="105">
        <f t="shared" si="5"/>
        <v>57077101.57</v>
      </c>
      <c r="P34" s="157">
        <f t="shared" si="2"/>
        <v>0.90521732493308327</v>
      </c>
    </row>
    <row r="35" spans="1:16" s="106" customFormat="1" ht="31.5" x14ac:dyDescent="0.2">
      <c r="A35" s="107" t="s">
        <v>266</v>
      </c>
      <c r="B35" s="103" t="s">
        <v>72</v>
      </c>
      <c r="C35" s="103" t="s">
        <v>28</v>
      </c>
      <c r="D35" s="103" t="s">
        <v>264</v>
      </c>
      <c r="E35" s="103" t="s">
        <v>66</v>
      </c>
      <c r="F35" s="103" t="s">
        <v>91</v>
      </c>
      <c r="G35" s="103" t="s">
        <v>61</v>
      </c>
      <c r="H35" s="103" t="s">
        <v>0</v>
      </c>
      <c r="I35" s="103" t="s">
        <v>0</v>
      </c>
      <c r="J35" s="103" t="s">
        <v>0</v>
      </c>
      <c r="K35" s="103" t="s">
        <v>0</v>
      </c>
      <c r="L35" s="103" t="s">
        <v>0</v>
      </c>
      <c r="M35" s="105">
        <f>M36</f>
        <v>25562178.98</v>
      </c>
      <c r="N35" s="105">
        <f t="shared" ref="N35:O36" si="6">N36</f>
        <v>19585801.57</v>
      </c>
      <c r="O35" s="105">
        <f t="shared" si="6"/>
        <v>19585801.57</v>
      </c>
      <c r="P35" s="157">
        <f t="shared" si="2"/>
        <v>0.7662023486074504</v>
      </c>
    </row>
    <row r="36" spans="1:16" s="106" customFormat="1" ht="47.25" x14ac:dyDescent="0.2">
      <c r="A36" s="102" t="s">
        <v>35</v>
      </c>
      <c r="B36" s="103" t="s">
        <v>72</v>
      </c>
      <c r="C36" s="103" t="s">
        <v>28</v>
      </c>
      <c r="D36" s="103" t="s">
        <v>264</v>
      </c>
      <c r="E36" s="103" t="s">
        <v>66</v>
      </c>
      <c r="F36" s="103" t="s">
        <v>91</v>
      </c>
      <c r="G36" s="103" t="s">
        <v>61</v>
      </c>
      <c r="H36" s="103" t="s">
        <v>36</v>
      </c>
      <c r="I36" s="104" t="s">
        <v>0</v>
      </c>
      <c r="J36" s="104" t="s">
        <v>0</v>
      </c>
      <c r="K36" s="104" t="s">
        <v>0</v>
      </c>
      <c r="L36" s="104" t="s">
        <v>0</v>
      </c>
      <c r="M36" s="105">
        <f>M37</f>
        <v>25562178.98</v>
      </c>
      <c r="N36" s="105">
        <f t="shared" si="6"/>
        <v>19585801.57</v>
      </c>
      <c r="O36" s="105">
        <f t="shared" si="6"/>
        <v>19585801.57</v>
      </c>
      <c r="P36" s="157">
        <f t="shared" si="2"/>
        <v>0.7662023486074504</v>
      </c>
    </row>
    <row r="37" spans="1:16" s="106" customFormat="1" ht="63" x14ac:dyDescent="0.2">
      <c r="A37" s="102" t="s">
        <v>492</v>
      </c>
      <c r="B37" s="103" t="s">
        <v>72</v>
      </c>
      <c r="C37" s="103" t="s">
        <v>28</v>
      </c>
      <c r="D37" s="103" t="s">
        <v>264</v>
      </c>
      <c r="E37" s="103" t="s">
        <v>66</v>
      </c>
      <c r="F37" s="103" t="s">
        <v>91</v>
      </c>
      <c r="G37" s="103" t="s">
        <v>61</v>
      </c>
      <c r="H37" s="103" t="s">
        <v>36</v>
      </c>
      <c r="I37" s="103" t="s">
        <v>67</v>
      </c>
      <c r="J37" s="103" t="s">
        <v>0</v>
      </c>
      <c r="K37" s="103" t="s">
        <v>0</v>
      </c>
      <c r="L37" s="103" t="s">
        <v>0</v>
      </c>
      <c r="M37" s="105">
        <f>M39+M38</f>
        <v>25562178.98</v>
      </c>
      <c r="N37" s="105">
        <f t="shared" ref="N37:O37" si="7">N39+N38</f>
        <v>19585801.57</v>
      </c>
      <c r="O37" s="105">
        <f t="shared" si="7"/>
        <v>19585801.57</v>
      </c>
      <c r="P37" s="157">
        <f t="shared" si="2"/>
        <v>0.7662023486074504</v>
      </c>
    </row>
    <row r="38" spans="1:16" s="106" customFormat="1" ht="31.5" x14ac:dyDescent="0.2">
      <c r="A38" s="108" t="s">
        <v>366</v>
      </c>
      <c r="B38" s="109" t="s">
        <v>72</v>
      </c>
      <c r="C38" s="109" t="s">
        <v>28</v>
      </c>
      <c r="D38" s="109" t="s">
        <v>264</v>
      </c>
      <c r="E38" s="109" t="s">
        <v>66</v>
      </c>
      <c r="F38" s="109" t="s">
        <v>91</v>
      </c>
      <c r="G38" s="109" t="s">
        <v>61</v>
      </c>
      <c r="H38" s="109" t="s">
        <v>36</v>
      </c>
      <c r="I38" s="109" t="s">
        <v>67</v>
      </c>
      <c r="J38" s="110"/>
      <c r="K38" s="111"/>
      <c r="L38" s="110" t="s">
        <v>301</v>
      </c>
      <c r="M38" s="99">
        <f>600000+400000-43597.62</f>
        <v>956402.38</v>
      </c>
      <c r="N38" s="99">
        <f>600000+400000-43597.62</f>
        <v>956402.38</v>
      </c>
      <c r="O38" s="99">
        <f>600000+400000-43597.62</f>
        <v>956402.38</v>
      </c>
      <c r="P38" s="156">
        <f t="shared" si="2"/>
        <v>1</v>
      </c>
    </row>
    <row r="39" spans="1:16" s="106" customFormat="1" ht="94.5" x14ac:dyDescent="0.2">
      <c r="A39" s="108" t="s">
        <v>316</v>
      </c>
      <c r="B39" s="109" t="s">
        <v>72</v>
      </c>
      <c r="C39" s="109" t="s">
        <v>28</v>
      </c>
      <c r="D39" s="109" t="s">
        <v>264</v>
      </c>
      <c r="E39" s="109" t="s">
        <v>66</v>
      </c>
      <c r="F39" s="109" t="s">
        <v>91</v>
      </c>
      <c r="G39" s="109" t="s">
        <v>61</v>
      </c>
      <c r="H39" s="109" t="s">
        <v>36</v>
      </c>
      <c r="I39" s="109" t="s">
        <v>67</v>
      </c>
      <c r="J39" s="110" t="s">
        <v>277</v>
      </c>
      <c r="K39" s="111">
        <v>997.42</v>
      </c>
      <c r="L39" s="110" t="s">
        <v>301</v>
      </c>
      <c r="M39" s="99">
        <f>12000000+11605776.6+1000000</f>
        <v>24605776.600000001</v>
      </c>
      <c r="N39" s="100">
        <v>18629399.190000001</v>
      </c>
      <c r="O39" s="141">
        <v>18629399.190000001</v>
      </c>
      <c r="P39" s="156">
        <f t="shared" si="2"/>
        <v>0.75711486342601353</v>
      </c>
    </row>
    <row r="40" spans="1:16" s="106" customFormat="1" ht="15.75" x14ac:dyDescent="0.2">
      <c r="A40" s="107" t="s">
        <v>302</v>
      </c>
      <c r="B40" s="103" t="s">
        <v>72</v>
      </c>
      <c r="C40" s="103" t="s">
        <v>28</v>
      </c>
      <c r="D40" s="103" t="s">
        <v>264</v>
      </c>
      <c r="E40" s="103" t="s">
        <v>66</v>
      </c>
      <c r="F40" s="103" t="s">
        <v>91</v>
      </c>
      <c r="G40" s="103" t="s">
        <v>34</v>
      </c>
      <c r="H40" s="103" t="s">
        <v>0</v>
      </c>
      <c r="I40" s="103" t="s">
        <v>0</v>
      </c>
      <c r="J40" s="103" t="s">
        <v>0</v>
      </c>
      <c r="K40" s="103" t="s">
        <v>0</v>
      </c>
      <c r="L40" s="103" t="s">
        <v>0</v>
      </c>
      <c r="M40" s="105">
        <f>M41</f>
        <v>37491300</v>
      </c>
      <c r="N40" s="105">
        <f t="shared" ref="N40:O41" si="8">N41</f>
        <v>36844342.240000002</v>
      </c>
      <c r="O40" s="105">
        <f t="shared" si="8"/>
        <v>37491300</v>
      </c>
      <c r="P40" s="157">
        <f t="shared" si="2"/>
        <v>1</v>
      </c>
    </row>
    <row r="41" spans="1:16" s="106" customFormat="1" ht="47.25" x14ac:dyDescent="0.2">
      <c r="A41" s="102" t="s">
        <v>35</v>
      </c>
      <c r="B41" s="103" t="s">
        <v>72</v>
      </c>
      <c r="C41" s="103" t="s">
        <v>28</v>
      </c>
      <c r="D41" s="103" t="s">
        <v>264</v>
      </c>
      <c r="E41" s="103" t="s">
        <v>66</v>
      </c>
      <c r="F41" s="103" t="s">
        <v>91</v>
      </c>
      <c r="G41" s="103" t="s">
        <v>34</v>
      </c>
      <c r="H41" s="103" t="s">
        <v>36</v>
      </c>
      <c r="I41" s="104" t="s">
        <v>0</v>
      </c>
      <c r="J41" s="104" t="s">
        <v>0</v>
      </c>
      <c r="K41" s="104" t="s">
        <v>0</v>
      </c>
      <c r="L41" s="104" t="s">
        <v>0</v>
      </c>
      <c r="M41" s="105">
        <f>M42</f>
        <v>37491300</v>
      </c>
      <c r="N41" s="105">
        <f t="shared" si="8"/>
        <v>36844342.240000002</v>
      </c>
      <c r="O41" s="105">
        <f t="shared" si="8"/>
        <v>37491300</v>
      </c>
      <c r="P41" s="157">
        <f t="shared" si="2"/>
        <v>1</v>
      </c>
    </row>
    <row r="42" spans="1:16" s="106" customFormat="1" ht="63" x14ac:dyDescent="0.2">
      <c r="A42" s="102" t="s">
        <v>492</v>
      </c>
      <c r="B42" s="103" t="s">
        <v>72</v>
      </c>
      <c r="C42" s="103" t="s">
        <v>28</v>
      </c>
      <c r="D42" s="103" t="s">
        <v>264</v>
      </c>
      <c r="E42" s="103" t="s">
        <v>66</v>
      </c>
      <c r="F42" s="103" t="s">
        <v>91</v>
      </c>
      <c r="G42" s="103" t="s">
        <v>34</v>
      </c>
      <c r="H42" s="103" t="s">
        <v>36</v>
      </c>
      <c r="I42" s="103" t="s">
        <v>67</v>
      </c>
      <c r="J42" s="103" t="s">
        <v>0</v>
      </c>
      <c r="K42" s="103" t="s">
        <v>0</v>
      </c>
      <c r="L42" s="103" t="s">
        <v>0</v>
      </c>
      <c r="M42" s="105">
        <f>M43+M44</f>
        <v>37491300</v>
      </c>
      <c r="N42" s="105">
        <f t="shared" ref="N42:O42" si="9">N43+N44</f>
        <v>36844342.240000002</v>
      </c>
      <c r="O42" s="105">
        <f t="shared" si="9"/>
        <v>37491300</v>
      </c>
      <c r="P42" s="157">
        <f t="shared" si="2"/>
        <v>1</v>
      </c>
    </row>
    <row r="43" spans="1:16" s="106" customFormat="1" ht="47.25" x14ac:dyDescent="0.2">
      <c r="A43" s="108" t="s">
        <v>323</v>
      </c>
      <c r="B43" s="109" t="s">
        <v>72</v>
      </c>
      <c r="C43" s="109" t="s">
        <v>28</v>
      </c>
      <c r="D43" s="109" t="s">
        <v>264</v>
      </c>
      <c r="E43" s="109" t="s">
        <v>66</v>
      </c>
      <c r="F43" s="109" t="s">
        <v>91</v>
      </c>
      <c r="G43" s="109" t="s">
        <v>34</v>
      </c>
      <c r="H43" s="109" t="s">
        <v>36</v>
      </c>
      <c r="I43" s="109" t="s">
        <v>67</v>
      </c>
      <c r="J43" s="110" t="s">
        <v>298</v>
      </c>
      <c r="K43" s="110" t="s">
        <v>299</v>
      </c>
      <c r="L43" s="110" t="s">
        <v>300</v>
      </c>
      <c r="M43" s="99">
        <f>500000+3000000+50000000-50000000-1008700</f>
        <v>2491300</v>
      </c>
      <c r="N43" s="99">
        <f>500000+3000000+50000000-50000000-1008700</f>
        <v>2491300</v>
      </c>
      <c r="O43" s="99">
        <f>500000+3000000+50000000-50000000-1008700</f>
        <v>2491300</v>
      </c>
      <c r="P43" s="156">
        <f t="shared" si="2"/>
        <v>1</v>
      </c>
    </row>
    <row r="44" spans="1:16" s="106" customFormat="1" ht="63" x14ac:dyDescent="0.2">
      <c r="A44" s="108" t="s">
        <v>318</v>
      </c>
      <c r="B44" s="109" t="s">
        <v>72</v>
      </c>
      <c r="C44" s="109" t="s">
        <v>28</v>
      </c>
      <c r="D44" s="109" t="s">
        <v>264</v>
      </c>
      <c r="E44" s="109" t="s">
        <v>66</v>
      </c>
      <c r="F44" s="109" t="s">
        <v>91</v>
      </c>
      <c r="G44" s="109" t="s">
        <v>34</v>
      </c>
      <c r="H44" s="109" t="s">
        <v>36</v>
      </c>
      <c r="I44" s="109" t="s">
        <v>67</v>
      </c>
      <c r="J44" s="110" t="s">
        <v>298</v>
      </c>
      <c r="K44" s="110" t="s">
        <v>115</v>
      </c>
      <c r="L44" s="110" t="s">
        <v>300</v>
      </c>
      <c r="M44" s="99">
        <f>500000+150000000-50000000-65500000</f>
        <v>35000000</v>
      </c>
      <c r="N44" s="100">
        <v>34353042.240000002</v>
      </c>
      <c r="O44" s="99">
        <f>500000+150000000-50000000-65500000</f>
        <v>35000000</v>
      </c>
      <c r="P44" s="156">
        <f t="shared" si="2"/>
        <v>1</v>
      </c>
    </row>
    <row r="45" spans="1:16" s="101" customFormat="1" ht="47.25" x14ac:dyDescent="0.2">
      <c r="A45" s="112" t="s">
        <v>53</v>
      </c>
      <c r="B45" s="113" t="s">
        <v>54</v>
      </c>
      <c r="C45" s="113" t="s">
        <v>0</v>
      </c>
      <c r="D45" s="113" t="s">
        <v>0</v>
      </c>
      <c r="E45" s="113" t="s">
        <v>0</v>
      </c>
      <c r="F45" s="113" t="s">
        <v>0</v>
      </c>
      <c r="G45" s="113" t="s">
        <v>0</v>
      </c>
      <c r="H45" s="114" t="s">
        <v>0</v>
      </c>
      <c r="I45" s="114" t="s">
        <v>0</v>
      </c>
      <c r="J45" s="114" t="s">
        <v>0</v>
      </c>
      <c r="K45" s="114" t="s">
        <v>0</v>
      </c>
      <c r="L45" s="114" t="s">
        <v>0</v>
      </c>
      <c r="M45" s="105">
        <f>M46</f>
        <v>112661482.68000001</v>
      </c>
      <c r="N45" s="105">
        <f t="shared" ref="N45:O45" si="10">N46</f>
        <v>112648676.66</v>
      </c>
      <c r="O45" s="105">
        <f t="shared" si="10"/>
        <v>112648676.66</v>
      </c>
      <c r="P45" s="157">
        <f t="shared" si="2"/>
        <v>0.99988633187052589</v>
      </c>
    </row>
    <row r="46" spans="1:16" s="101" customFormat="1" ht="31.5" x14ac:dyDescent="0.2">
      <c r="A46" s="112" t="s">
        <v>55</v>
      </c>
      <c r="B46" s="113" t="s">
        <v>54</v>
      </c>
      <c r="C46" s="113" t="s">
        <v>28</v>
      </c>
      <c r="D46" s="113" t="s">
        <v>24</v>
      </c>
      <c r="E46" s="113" t="s">
        <v>0</v>
      </c>
      <c r="F46" s="113" t="s">
        <v>0</v>
      </c>
      <c r="G46" s="113" t="s">
        <v>0</v>
      </c>
      <c r="H46" s="114" t="s">
        <v>0</v>
      </c>
      <c r="I46" s="114" t="s">
        <v>0</v>
      </c>
      <c r="J46" s="114" t="s">
        <v>0</v>
      </c>
      <c r="K46" s="114" t="s">
        <v>0</v>
      </c>
      <c r="L46" s="114" t="s">
        <v>0</v>
      </c>
      <c r="M46" s="105">
        <f>M47+M54</f>
        <v>112661482.68000001</v>
      </c>
      <c r="N46" s="105">
        <f t="shared" ref="N46:O46" si="11">N47+N54</f>
        <v>112648676.66</v>
      </c>
      <c r="O46" s="105">
        <f t="shared" si="11"/>
        <v>112648676.66</v>
      </c>
      <c r="P46" s="157">
        <f t="shared" si="2"/>
        <v>0.99988633187052589</v>
      </c>
    </row>
    <row r="47" spans="1:16" s="101" customFormat="1" ht="31.5" x14ac:dyDescent="0.2">
      <c r="A47" s="112" t="s">
        <v>56</v>
      </c>
      <c r="B47" s="113" t="s">
        <v>54</v>
      </c>
      <c r="C47" s="113" t="s">
        <v>28</v>
      </c>
      <c r="D47" s="113" t="s">
        <v>24</v>
      </c>
      <c r="E47" s="113" t="s">
        <v>57</v>
      </c>
      <c r="F47" s="113" t="s">
        <v>0</v>
      </c>
      <c r="G47" s="113" t="s">
        <v>0</v>
      </c>
      <c r="H47" s="114" t="s">
        <v>0</v>
      </c>
      <c r="I47" s="114" t="s">
        <v>0</v>
      </c>
      <c r="J47" s="114" t="s">
        <v>0</v>
      </c>
      <c r="K47" s="114" t="s">
        <v>0</v>
      </c>
      <c r="L47" s="114" t="s">
        <v>0</v>
      </c>
      <c r="M47" s="105">
        <f t="shared" ref="M47:O52" si="12">M48</f>
        <v>11924101.529999999</v>
      </c>
      <c r="N47" s="105">
        <f t="shared" si="12"/>
        <v>11924101.529999999</v>
      </c>
      <c r="O47" s="105">
        <f t="shared" si="12"/>
        <v>11924101.529999999</v>
      </c>
      <c r="P47" s="157">
        <f t="shared" si="2"/>
        <v>1</v>
      </c>
    </row>
    <row r="48" spans="1:16" s="101" customFormat="1" ht="78.75" x14ac:dyDescent="0.2">
      <c r="A48" s="112" t="s">
        <v>291</v>
      </c>
      <c r="B48" s="113" t="s">
        <v>54</v>
      </c>
      <c r="C48" s="113" t="s">
        <v>28</v>
      </c>
      <c r="D48" s="113" t="s">
        <v>24</v>
      </c>
      <c r="E48" s="113" t="s">
        <v>57</v>
      </c>
      <c r="F48" s="113" t="s">
        <v>0</v>
      </c>
      <c r="G48" s="113" t="s">
        <v>0</v>
      </c>
      <c r="H48" s="114" t="s">
        <v>0</v>
      </c>
      <c r="I48" s="114" t="s">
        <v>0</v>
      </c>
      <c r="J48" s="114" t="s">
        <v>0</v>
      </c>
      <c r="K48" s="114" t="s">
        <v>0</v>
      </c>
      <c r="L48" s="114" t="s">
        <v>0</v>
      </c>
      <c r="M48" s="105">
        <f t="shared" si="12"/>
        <v>11924101.529999999</v>
      </c>
      <c r="N48" s="105">
        <f t="shared" si="12"/>
        <v>11924101.529999999</v>
      </c>
      <c r="O48" s="105">
        <f t="shared" si="12"/>
        <v>11924101.529999999</v>
      </c>
      <c r="P48" s="157">
        <f t="shared" si="2"/>
        <v>1</v>
      </c>
    </row>
    <row r="49" spans="1:16" s="101" customFormat="1" ht="15.75" x14ac:dyDescent="0.2">
      <c r="A49" s="115" t="s">
        <v>58</v>
      </c>
      <c r="B49" s="113" t="s">
        <v>54</v>
      </c>
      <c r="C49" s="113" t="s">
        <v>28</v>
      </c>
      <c r="D49" s="113" t="s">
        <v>24</v>
      </c>
      <c r="E49" s="113" t="s">
        <v>57</v>
      </c>
      <c r="F49" s="113" t="s">
        <v>59</v>
      </c>
      <c r="G49" s="113" t="s">
        <v>0</v>
      </c>
      <c r="H49" s="113" t="s">
        <v>0</v>
      </c>
      <c r="I49" s="113" t="s">
        <v>0</v>
      </c>
      <c r="J49" s="113" t="s">
        <v>0</v>
      </c>
      <c r="K49" s="113" t="s">
        <v>0</v>
      </c>
      <c r="L49" s="113" t="s">
        <v>0</v>
      </c>
      <c r="M49" s="105">
        <f t="shared" si="12"/>
        <v>11924101.529999999</v>
      </c>
      <c r="N49" s="105">
        <f t="shared" si="12"/>
        <v>11924101.529999999</v>
      </c>
      <c r="O49" s="105">
        <f t="shared" si="12"/>
        <v>11924101.529999999</v>
      </c>
      <c r="P49" s="157">
        <f t="shared" si="2"/>
        <v>1</v>
      </c>
    </row>
    <row r="50" spans="1:16" s="101" customFormat="1" ht="15.75" x14ac:dyDescent="0.2">
      <c r="A50" s="115" t="s">
        <v>60</v>
      </c>
      <c r="B50" s="113" t="s">
        <v>54</v>
      </c>
      <c r="C50" s="113" t="s">
        <v>28</v>
      </c>
      <c r="D50" s="113" t="s">
        <v>24</v>
      </c>
      <c r="E50" s="113" t="s">
        <v>57</v>
      </c>
      <c r="F50" s="113" t="s">
        <v>59</v>
      </c>
      <c r="G50" s="113" t="s">
        <v>61</v>
      </c>
      <c r="H50" s="113" t="s">
        <v>0</v>
      </c>
      <c r="I50" s="113" t="s">
        <v>0</v>
      </c>
      <c r="J50" s="113" t="s">
        <v>0</v>
      </c>
      <c r="K50" s="113" t="s">
        <v>0</v>
      </c>
      <c r="L50" s="113" t="s">
        <v>0</v>
      </c>
      <c r="M50" s="105">
        <f t="shared" si="12"/>
        <v>11924101.529999999</v>
      </c>
      <c r="N50" s="105">
        <f t="shared" si="12"/>
        <v>11924101.529999999</v>
      </c>
      <c r="O50" s="105">
        <f t="shared" si="12"/>
        <v>11924101.529999999</v>
      </c>
      <c r="P50" s="157">
        <f t="shared" si="2"/>
        <v>1</v>
      </c>
    </row>
    <row r="51" spans="1:16" s="101" customFormat="1" ht="47.25" x14ac:dyDescent="0.2">
      <c r="A51" s="112" t="s">
        <v>35</v>
      </c>
      <c r="B51" s="113" t="s">
        <v>54</v>
      </c>
      <c r="C51" s="113" t="s">
        <v>28</v>
      </c>
      <c r="D51" s="113" t="s">
        <v>24</v>
      </c>
      <c r="E51" s="113" t="s">
        <v>57</v>
      </c>
      <c r="F51" s="113" t="s">
        <v>59</v>
      </c>
      <c r="G51" s="113" t="s">
        <v>61</v>
      </c>
      <c r="H51" s="113" t="s">
        <v>36</v>
      </c>
      <c r="I51" s="114" t="s">
        <v>0</v>
      </c>
      <c r="J51" s="114" t="s">
        <v>0</v>
      </c>
      <c r="K51" s="114" t="s">
        <v>0</v>
      </c>
      <c r="L51" s="114" t="s">
        <v>0</v>
      </c>
      <c r="M51" s="105">
        <f t="shared" si="12"/>
        <v>11924101.529999999</v>
      </c>
      <c r="N51" s="105">
        <f t="shared" si="12"/>
        <v>11924101.529999999</v>
      </c>
      <c r="O51" s="105">
        <f t="shared" si="12"/>
        <v>11924101.529999999</v>
      </c>
      <c r="P51" s="157">
        <f t="shared" si="2"/>
        <v>1</v>
      </c>
    </row>
    <row r="52" spans="1:16" s="101" customFormat="1" ht="94.5" x14ac:dyDescent="0.2">
      <c r="A52" s="112" t="s">
        <v>490</v>
      </c>
      <c r="B52" s="113" t="s">
        <v>54</v>
      </c>
      <c r="C52" s="113" t="s">
        <v>28</v>
      </c>
      <c r="D52" s="113" t="s">
        <v>24</v>
      </c>
      <c r="E52" s="113" t="s">
        <v>57</v>
      </c>
      <c r="F52" s="113" t="s">
        <v>59</v>
      </c>
      <c r="G52" s="113" t="s">
        <v>61</v>
      </c>
      <c r="H52" s="113" t="s">
        <v>36</v>
      </c>
      <c r="I52" s="113" t="s">
        <v>62</v>
      </c>
      <c r="J52" s="113" t="s">
        <v>0</v>
      </c>
      <c r="K52" s="113" t="s">
        <v>0</v>
      </c>
      <c r="L52" s="113" t="s">
        <v>0</v>
      </c>
      <c r="M52" s="105">
        <f t="shared" si="12"/>
        <v>11924101.529999999</v>
      </c>
      <c r="N52" s="105">
        <f t="shared" si="12"/>
        <v>11924101.529999999</v>
      </c>
      <c r="O52" s="105">
        <f t="shared" si="12"/>
        <v>11924101.529999999</v>
      </c>
      <c r="P52" s="157">
        <f t="shared" si="2"/>
        <v>1</v>
      </c>
    </row>
    <row r="53" spans="1:16" s="101" customFormat="1" ht="47.25" x14ac:dyDescent="0.2">
      <c r="A53" s="96" t="s">
        <v>63</v>
      </c>
      <c r="B53" s="97" t="s">
        <v>54</v>
      </c>
      <c r="C53" s="97" t="s">
        <v>28</v>
      </c>
      <c r="D53" s="97" t="s">
        <v>24</v>
      </c>
      <c r="E53" s="97" t="s">
        <v>57</v>
      </c>
      <c r="F53" s="97" t="s">
        <v>59</v>
      </c>
      <c r="G53" s="97" t="s">
        <v>61</v>
      </c>
      <c r="H53" s="97" t="s">
        <v>36</v>
      </c>
      <c r="I53" s="97" t="s">
        <v>62</v>
      </c>
      <c r="J53" s="98" t="s">
        <v>64</v>
      </c>
      <c r="K53" s="98" t="s">
        <v>65</v>
      </c>
      <c r="L53" s="98">
        <v>2019</v>
      </c>
      <c r="M53" s="99">
        <v>11924101.529999999</v>
      </c>
      <c r="N53" s="100">
        <v>11924101.529999999</v>
      </c>
      <c r="O53" s="141">
        <v>11924101.529999999</v>
      </c>
      <c r="P53" s="156">
        <f t="shared" si="2"/>
        <v>1</v>
      </c>
    </row>
    <row r="54" spans="1:16" s="101" customFormat="1" ht="31.5" x14ac:dyDescent="0.2">
      <c r="A54" s="112" t="s">
        <v>288</v>
      </c>
      <c r="B54" s="113" t="s">
        <v>54</v>
      </c>
      <c r="C54" s="113" t="s">
        <v>28</v>
      </c>
      <c r="D54" s="113" t="s">
        <v>24</v>
      </c>
      <c r="E54" s="113" t="s">
        <v>66</v>
      </c>
      <c r="F54" s="113" t="s">
        <v>0</v>
      </c>
      <c r="G54" s="113" t="s">
        <v>0</v>
      </c>
      <c r="H54" s="114" t="s">
        <v>0</v>
      </c>
      <c r="I54" s="114" t="s">
        <v>0</v>
      </c>
      <c r="J54" s="114" t="s">
        <v>0</v>
      </c>
      <c r="K54" s="114" t="s">
        <v>0</v>
      </c>
      <c r="L54" s="114" t="s">
        <v>0</v>
      </c>
      <c r="M54" s="105">
        <f t="shared" ref="M54:O59" si="13">M55</f>
        <v>100737381.15000001</v>
      </c>
      <c r="N54" s="105">
        <f t="shared" si="13"/>
        <v>100724575.13</v>
      </c>
      <c r="O54" s="105">
        <f t="shared" si="13"/>
        <v>100724575.13</v>
      </c>
      <c r="P54" s="157">
        <f t="shared" si="2"/>
        <v>0.99987287717971407</v>
      </c>
    </row>
    <row r="55" spans="1:16" s="101" customFormat="1" ht="78.75" x14ac:dyDescent="0.2">
      <c r="A55" s="112" t="s">
        <v>287</v>
      </c>
      <c r="B55" s="113" t="s">
        <v>54</v>
      </c>
      <c r="C55" s="113" t="s">
        <v>28</v>
      </c>
      <c r="D55" s="113" t="s">
        <v>24</v>
      </c>
      <c r="E55" s="113" t="s">
        <v>66</v>
      </c>
      <c r="F55" s="113" t="s">
        <v>0</v>
      </c>
      <c r="G55" s="113" t="s">
        <v>0</v>
      </c>
      <c r="H55" s="114" t="s">
        <v>0</v>
      </c>
      <c r="I55" s="114" t="s">
        <v>0</v>
      </c>
      <c r="J55" s="114" t="s">
        <v>0</v>
      </c>
      <c r="K55" s="114" t="s">
        <v>0</v>
      </c>
      <c r="L55" s="114" t="s">
        <v>0</v>
      </c>
      <c r="M55" s="105">
        <f t="shared" si="13"/>
        <v>100737381.15000001</v>
      </c>
      <c r="N55" s="105">
        <f t="shared" si="13"/>
        <v>100724575.13</v>
      </c>
      <c r="O55" s="105">
        <f t="shared" si="13"/>
        <v>100724575.13</v>
      </c>
      <c r="P55" s="157">
        <f t="shared" si="2"/>
        <v>0.99987287717971407</v>
      </c>
    </row>
    <row r="56" spans="1:16" s="101" customFormat="1" ht="15.75" x14ac:dyDescent="0.2">
      <c r="A56" s="115" t="s">
        <v>58</v>
      </c>
      <c r="B56" s="113" t="s">
        <v>54</v>
      </c>
      <c r="C56" s="113" t="s">
        <v>28</v>
      </c>
      <c r="D56" s="113" t="s">
        <v>24</v>
      </c>
      <c r="E56" s="113" t="s">
        <v>66</v>
      </c>
      <c r="F56" s="113" t="s">
        <v>59</v>
      </c>
      <c r="G56" s="113" t="s">
        <v>0</v>
      </c>
      <c r="H56" s="113" t="s">
        <v>0</v>
      </c>
      <c r="I56" s="113" t="s">
        <v>0</v>
      </c>
      <c r="J56" s="113" t="s">
        <v>0</v>
      </c>
      <c r="K56" s="113" t="s">
        <v>0</v>
      </c>
      <c r="L56" s="113" t="s">
        <v>0</v>
      </c>
      <c r="M56" s="105">
        <f t="shared" si="13"/>
        <v>100737381.15000001</v>
      </c>
      <c r="N56" s="105">
        <f t="shared" si="13"/>
        <v>100724575.13</v>
      </c>
      <c r="O56" s="105">
        <f t="shared" si="13"/>
        <v>100724575.13</v>
      </c>
      <c r="P56" s="157">
        <f t="shared" si="2"/>
        <v>0.99987287717971407</v>
      </c>
    </row>
    <row r="57" spans="1:16" s="101" customFormat="1" ht="15.75" x14ac:dyDescent="0.2">
      <c r="A57" s="115" t="s">
        <v>60</v>
      </c>
      <c r="B57" s="113" t="s">
        <v>54</v>
      </c>
      <c r="C57" s="113" t="s">
        <v>28</v>
      </c>
      <c r="D57" s="113" t="s">
        <v>24</v>
      </c>
      <c r="E57" s="113" t="s">
        <v>66</v>
      </c>
      <c r="F57" s="113" t="s">
        <v>59</v>
      </c>
      <c r="G57" s="113" t="s">
        <v>61</v>
      </c>
      <c r="H57" s="113" t="s">
        <v>0</v>
      </c>
      <c r="I57" s="113" t="s">
        <v>0</v>
      </c>
      <c r="J57" s="113" t="s">
        <v>0</v>
      </c>
      <c r="K57" s="113" t="s">
        <v>0</v>
      </c>
      <c r="L57" s="113" t="s">
        <v>0</v>
      </c>
      <c r="M57" s="105">
        <f t="shared" si="13"/>
        <v>100737381.15000001</v>
      </c>
      <c r="N57" s="105">
        <f t="shared" si="13"/>
        <v>100724575.13</v>
      </c>
      <c r="O57" s="105">
        <f t="shared" si="13"/>
        <v>100724575.13</v>
      </c>
      <c r="P57" s="157">
        <f t="shared" si="2"/>
        <v>0.99987287717971407</v>
      </c>
    </row>
    <row r="58" spans="1:16" s="101" customFormat="1" ht="47.25" x14ac:dyDescent="0.2">
      <c r="A58" s="112" t="s">
        <v>35</v>
      </c>
      <c r="B58" s="113" t="s">
        <v>54</v>
      </c>
      <c r="C58" s="113" t="s">
        <v>28</v>
      </c>
      <c r="D58" s="113" t="s">
        <v>24</v>
      </c>
      <c r="E58" s="113" t="s">
        <v>66</v>
      </c>
      <c r="F58" s="113" t="s">
        <v>59</v>
      </c>
      <c r="G58" s="113" t="s">
        <v>61</v>
      </c>
      <c r="H58" s="113" t="s">
        <v>36</v>
      </c>
      <c r="I58" s="114" t="s">
        <v>0</v>
      </c>
      <c r="J58" s="114" t="s">
        <v>0</v>
      </c>
      <c r="K58" s="114" t="s">
        <v>0</v>
      </c>
      <c r="L58" s="114" t="s">
        <v>0</v>
      </c>
      <c r="M58" s="105">
        <f t="shared" si="13"/>
        <v>100737381.15000001</v>
      </c>
      <c r="N58" s="105">
        <f t="shared" si="13"/>
        <v>100724575.13</v>
      </c>
      <c r="O58" s="105">
        <f t="shared" si="13"/>
        <v>100724575.13</v>
      </c>
      <c r="P58" s="157">
        <f t="shared" si="2"/>
        <v>0.99987287717971407</v>
      </c>
    </row>
    <row r="59" spans="1:16" s="101" customFormat="1" ht="63" x14ac:dyDescent="0.2">
      <c r="A59" s="102" t="s">
        <v>492</v>
      </c>
      <c r="B59" s="113" t="s">
        <v>54</v>
      </c>
      <c r="C59" s="113" t="s">
        <v>28</v>
      </c>
      <c r="D59" s="113" t="s">
        <v>24</v>
      </c>
      <c r="E59" s="113" t="s">
        <v>66</v>
      </c>
      <c r="F59" s="113" t="s">
        <v>59</v>
      </c>
      <c r="G59" s="113" t="s">
        <v>61</v>
      </c>
      <c r="H59" s="113" t="s">
        <v>36</v>
      </c>
      <c r="I59" s="113" t="s">
        <v>67</v>
      </c>
      <c r="J59" s="113" t="s">
        <v>0</v>
      </c>
      <c r="K59" s="113" t="s">
        <v>0</v>
      </c>
      <c r="L59" s="113" t="s">
        <v>0</v>
      </c>
      <c r="M59" s="105">
        <f t="shared" si="13"/>
        <v>100737381.15000001</v>
      </c>
      <c r="N59" s="105">
        <f t="shared" si="13"/>
        <v>100724575.13</v>
      </c>
      <c r="O59" s="105">
        <f t="shared" si="13"/>
        <v>100724575.13</v>
      </c>
      <c r="P59" s="157">
        <f t="shared" si="2"/>
        <v>0.99987287717971407</v>
      </c>
    </row>
    <row r="60" spans="1:16" s="101" customFormat="1" ht="47.25" x14ac:dyDescent="0.2">
      <c r="A60" s="96" t="s">
        <v>68</v>
      </c>
      <c r="B60" s="97" t="s">
        <v>54</v>
      </c>
      <c r="C60" s="97" t="s">
        <v>28</v>
      </c>
      <c r="D60" s="97" t="s">
        <v>24</v>
      </c>
      <c r="E60" s="97" t="s">
        <v>66</v>
      </c>
      <c r="F60" s="97" t="s">
        <v>59</v>
      </c>
      <c r="G60" s="97" t="s">
        <v>61</v>
      </c>
      <c r="H60" s="97" t="s">
        <v>36</v>
      </c>
      <c r="I60" s="97" t="s">
        <v>67</v>
      </c>
      <c r="J60" s="98" t="s">
        <v>76</v>
      </c>
      <c r="K60" s="98">
        <v>200</v>
      </c>
      <c r="L60" s="98">
        <v>2018</v>
      </c>
      <c r="M60" s="99">
        <f>90780381.15+957000+7000000+2000000</f>
        <v>100737381.15000001</v>
      </c>
      <c r="N60" s="100">
        <v>100724575.13</v>
      </c>
      <c r="O60" s="141">
        <v>100724575.13</v>
      </c>
      <c r="P60" s="156">
        <f t="shared" si="2"/>
        <v>0.99987287717971407</v>
      </c>
    </row>
    <row r="61" spans="1:16" s="106" customFormat="1" ht="47.25" x14ac:dyDescent="0.2">
      <c r="A61" s="102" t="s">
        <v>69</v>
      </c>
      <c r="B61" s="103" t="s">
        <v>70</v>
      </c>
      <c r="C61" s="103" t="s">
        <v>0</v>
      </c>
      <c r="D61" s="103" t="s">
        <v>0</v>
      </c>
      <c r="E61" s="103" t="s">
        <v>0</v>
      </c>
      <c r="F61" s="103" t="s">
        <v>0</v>
      </c>
      <c r="G61" s="103" t="s">
        <v>0</v>
      </c>
      <c r="H61" s="104" t="s">
        <v>0</v>
      </c>
      <c r="I61" s="104" t="s">
        <v>0</v>
      </c>
      <c r="J61" s="104" t="s">
        <v>0</v>
      </c>
      <c r="K61" s="104" t="s">
        <v>0</v>
      </c>
      <c r="L61" s="104" t="s">
        <v>0</v>
      </c>
      <c r="M61" s="105">
        <f t="shared" ref="M61:O68" si="14">M62</f>
        <v>46850000</v>
      </c>
      <c r="N61" s="105">
        <f t="shared" si="14"/>
        <v>38462601.850000001</v>
      </c>
      <c r="O61" s="105">
        <f t="shared" si="14"/>
        <v>38462601.850000001</v>
      </c>
      <c r="P61" s="157">
        <f t="shared" si="2"/>
        <v>0.82097335859124865</v>
      </c>
    </row>
    <row r="62" spans="1:16" s="106" customFormat="1" ht="31.5" x14ac:dyDescent="0.2">
      <c r="A62" s="102" t="s">
        <v>71</v>
      </c>
      <c r="B62" s="103" t="s">
        <v>70</v>
      </c>
      <c r="C62" s="103" t="s">
        <v>28</v>
      </c>
      <c r="D62" s="103" t="s">
        <v>72</v>
      </c>
      <c r="E62" s="103" t="s">
        <v>0</v>
      </c>
      <c r="F62" s="103" t="s">
        <v>0</v>
      </c>
      <c r="G62" s="103" t="s">
        <v>0</v>
      </c>
      <c r="H62" s="104" t="s">
        <v>0</v>
      </c>
      <c r="I62" s="104" t="s">
        <v>0</v>
      </c>
      <c r="J62" s="104" t="s">
        <v>0</v>
      </c>
      <c r="K62" s="104" t="s">
        <v>0</v>
      </c>
      <c r="L62" s="104" t="s">
        <v>0</v>
      </c>
      <c r="M62" s="105">
        <f t="shared" si="14"/>
        <v>46850000</v>
      </c>
      <c r="N62" s="105">
        <f t="shared" si="14"/>
        <v>38462601.850000001</v>
      </c>
      <c r="O62" s="105">
        <f t="shared" si="14"/>
        <v>38462601.850000001</v>
      </c>
      <c r="P62" s="157">
        <f t="shared" si="2"/>
        <v>0.82097335859124865</v>
      </c>
    </row>
    <row r="63" spans="1:16" s="106" customFormat="1" ht="31.5" x14ac:dyDescent="0.2">
      <c r="A63" s="102" t="s">
        <v>297</v>
      </c>
      <c r="B63" s="103" t="s">
        <v>70</v>
      </c>
      <c r="C63" s="103" t="s">
        <v>28</v>
      </c>
      <c r="D63" s="103" t="s">
        <v>72</v>
      </c>
      <c r="E63" s="103" t="s">
        <v>66</v>
      </c>
      <c r="F63" s="103" t="s">
        <v>0</v>
      </c>
      <c r="G63" s="103" t="s">
        <v>0</v>
      </c>
      <c r="H63" s="104" t="s">
        <v>0</v>
      </c>
      <c r="I63" s="104" t="s">
        <v>0</v>
      </c>
      <c r="J63" s="104" t="s">
        <v>0</v>
      </c>
      <c r="K63" s="104" t="s">
        <v>0</v>
      </c>
      <c r="L63" s="104" t="s">
        <v>0</v>
      </c>
      <c r="M63" s="105">
        <f t="shared" si="14"/>
        <v>46850000</v>
      </c>
      <c r="N63" s="105">
        <f t="shared" si="14"/>
        <v>38462601.850000001</v>
      </c>
      <c r="O63" s="105">
        <f t="shared" si="14"/>
        <v>38462601.850000001</v>
      </c>
      <c r="P63" s="157">
        <f t="shared" si="2"/>
        <v>0.82097335859124865</v>
      </c>
    </row>
    <row r="64" spans="1:16" s="106" customFormat="1" ht="78.75" x14ac:dyDescent="0.2">
      <c r="A64" s="102" t="s">
        <v>287</v>
      </c>
      <c r="B64" s="103" t="s">
        <v>70</v>
      </c>
      <c r="C64" s="103" t="s">
        <v>28</v>
      </c>
      <c r="D64" s="103" t="s">
        <v>72</v>
      </c>
      <c r="E64" s="103" t="s">
        <v>66</v>
      </c>
      <c r="F64" s="103" t="s">
        <v>0</v>
      </c>
      <c r="G64" s="103" t="s">
        <v>0</v>
      </c>
      <c r="H64" s="104" t="s">
        <v>0</v>
      </c>
      <c r="I64" s="104" t="s">
        <v>0</v>
      </c>
      <c r="J64" s="104" t="s">
        <v>0</v>
      </c>
      <c r="K64" s="104" t="s">
        <v>0</v>
      </c>
      <c r="L64" s="104" t="s">
        <v>0</v>
      </c>
      <c r="M64" s="105">
        <f t="shared" si="14"/>
        <v>46850000</v>
      </c>
      <c r="N64" s="105">
        <f t="shared" si="14"/>
        <v>38462601.850000001</v>
      </c>
      <c r="O64" s="105">
        <f t="shared" si="14"/>
        <v>38462601.850000001</v>
      </c>
      <c r="P64" s="157">
        <f t="shared" si="2"/>
        <v>0.82097335859124865</v>
      </c>
    </row>
    <row r="65" spans="1:16" s="106" customFormat="1" ht="15.75" x14ac:dyDescent="0.2">
      <c r="A65" s="107" t="s">
        <v>73</v>
      </c>
      <c r="B65" s="103" t="s">
        <v>70</v>
      </c>
      <c r="C65" s="103" t="s">
        <v>28</v>
      </c>
      <c r="D65" s="103" t="s">
        <v>72</v>
      </c>
      <c r="E65" s="103" t="s">
        <v>66</v>
      </c>
      <c r="F65" s="103" t="s">
        <v>74</v>
      </c>
      <c r="G65" s="103" t="s">
        <v>0</v>
      </c>
      <c r="H65" s="103" t="s">
        <v>0</v>
      </c>
      <c r="I65" s="103" t="s">
        <v>0</v>
      </c>
      <c r="J65" s="103" t="s">
        <v>0</v>
      </c>
      <c r="K65" s="103" t="s">
        <v>0</v>
      </c>
      <c r="L65" s="103" t="s">
        <v>0</v>
      </c>
      <c r="M65" s="105">
        <f>M66</f>
        <v>46850000</v>
      </c>
      <c r="N65" s="105">
        <f t="shared" si="14"/>
        <v>38462601.850000001</v>
      </c>
      <c r="O65" s="105">
        <f t="shared" si="14"/>
        <v>38462601.850000001</v>
      </c>
      <c r="P65" s="157">
        <f t="shared" si="2"/>
        <v>0.82097335859124865</v>
      </c>
    </row>
    <row r="66" spans="1:16" s="106" customFormat="1" ht="31.5" x14ac:dyDescent="0.2">
      <c r="A66" s="107" t="s">
        <v>268</v>
      </c>
      <c r="B66" s="103" t="s">
        <v>70</v>
      </c>
      <c r="C66" s="103" t="s">
        <v>28</v>
      </c>
      <c r="D66" s="103" t="s">
        <v>72</v>
      </c>
      <c r="E66" s="103" t="s">
        <v>66</v>
      </c>
      <c r="F66" s="103" t="s">
        <v>74</v>
      </c>
      <c r="G66" s="103" t="s">
        <v>85</v>
      </c>
      <c r="H66" s="103" t="s">
        <v>0</v>
      </c>
      <c r="I66" s="103" t="s">
        <v>0</v>
      </c>
      <c r="J66" s="103" t="s">
        <v>0</v>
      </c>
      <c r="K66" s="103" t="s">
        <v>0</v>
      </c>
      <c r="L66" s="103" t="s">
        <v>0</v>
      </c>
      <c r="M66" s="105">
        <f t="shared" si="14"/>
        <v>46850000</v>
      </c>
      <c r="N66" s="105">
        <f t="shared" si="14"/>
        <v>38462601.850000001</v>
      </c>
      <c r="O66" s="105">
        <f t="shared" si="14"/>
        <v>38462601.850000001</v>
      </c>
      <c r="P66" s="157">
        <f t="shared" si="2"/>
        <v>0.82097335859124865</v>
      </c>
    </row>
    <row r="67" spans="1:16" s="106" customFormat="1" ht="47.25" x14ac:dyDescent="0.2">
      <c r="A67" s="102" t="s">
        <v>35</v>
      </c>
      <c r="B67" s="103" t="s">
        <v>70</v>
      </c>
      <c r="C67" s="103" t="s">
        <v>28</v>
      </c>
      <c r="D67" s="103" t="s">
        <v>72</v>
      </c>
      <c r="E67" s="103" t="s">
        <v>66</v>
      </c>
      <c r="F67" s="103" t="s">
        <v>74</v>
      </c>
      <c r="G67" s="103" t="s">
        <v>85</v>
      </c>
      <c r="H67" s="103" t="s">
        <v>36</v>
      </c>
      <c r="I67" s="104" t="s">
        <v>0</v>
      </c>
      <c r="J67" s="104" t="s">
        <v>0</v>
      </c>
      <c r="K67" s="104" t="s">
        <v>0</v>
      </c>
      <c r="L67" s="104" t="s">
        <v>0</v>
      </c>
      <c r="M67" s="105">
        <f t="shared" si="14"/>
        <v>46850000</v>
      </c>
      <c r="N67" s="105">
        <f t="shared" si="14"/>
        <v>38462601.850000001</v>
      </c>
      <c r="O67" s="105">
        <f t="shared" si="14"/>
        <v>38462601.850000001</v>
      </c>
      <c r="P67" s="157">
        <f t="shared" si="2"/>
        <v>0.82097335859124865</v>
      </c>
    </row>
    <row r="68" spans="1:16" s="106" customFormat="1" ht="63" x14ac:dyDescent="0.2">
      <c r="A68" s="102" t="s">
        <v>492</v>
      </c>
      <c r="B68" s="103" t="s">
        <v>70</v>
      </c>
      <c r="C68" s="103" t="s">
        <v>28</v>
      </c>
      <c r="D68" s="103" t="s">
        <v>72</v>
      </c>
      <c r="E68" s="103" t="s">
        <v>66</v>
      </c>
      <c r="F68" s="103" t="s">
        <v>74</v>
      </c>
      <c r="G68" s="103" t="s">
        <v>85</v>
      </c>
      <c r="H68" s="103" t="s">
        <v>36</v>
      </c>
      <c r="I68" s="103" t="s">
        <v>67</v>
      </c>
      <c r="J68" s="103" t="s">
        <v>0</v>
      </c>
      <c r="K68" s="103" t="s">
        <v>0</v>
      </c>
      <c r="L68" s="103" t="s">
        <v>0</v>
      </c>
      <c r="M68" s="105">
        <f t="shared" si="14"/>
        <v>46850000</v>
      </c>
      <c r="N68" s="105">
        <f t="shared" si="14"/>
        <v>38462601.850000001</v>
      </c>
      <c r="O68" s="105">
        <f t="shared" si="14"/>
        <v>38462601.850000001</v>
      </c>
      <c r="P68" s="157">
        <f t="shared" si="2"/>
        <v>0.82097335859124865</v>
      </c>
    </row>
    <row r="69" spans="1:16" s="106" customFormat="1" ht="63" x14ac:dyDescent="0.2">
      <c r="A69" s="108" t="s">
        <v>269</v>
      </c>
      <c r="B69" s="109" t="s">
        <v>70</v>
      </c>
      <c r="C69" s="109" t="s">
        <v>28</v>
      </c>
      <c r="D69" s="109" t="s">
        <v>72</v>
      </c>
      <c r="E69" s="109" t="s">
        <v>66</v>
      </c>
      <c r="F69" s="109" t="s">
        <v>74</v>
      </c>
      <c r="G69" s="109" t="s">
        <v>85</v>
      </c>
      <c r="H69" s="109" t="s">
        <v>36</v>
      </c>
      <c r="I69" s="109" t="s">
        <v>67</v>
      </c>
      <c r="J69" s="110" t="s">
        <v>122</v>
      </c>
      <c r="K69" s="110" t="s">
        <v>117</v>
      </c>
      <c r="L69" s="116" t="s">
        <v>300</v>
      </c>
      <c r="M69" s="99">
        <f>50000000-3150000</f>
        <v>46850000</v>
      </c>
      <c r="N69" s="100">
        <v>38462601.850000001</v>
      </c>
      <c r="O69" s="141">
        <v>38462601.850000001</v>
      </c>
      <c r="P69" s="156">
        <f t="shared" si="2"/>
        <v>0.82097335859124865</v>
      </c>
    </row>
    <row r="70" spans="1:16" s="101" customFormat="1" ht="78.75" x14ac:dyDescent="0.2">
      <c r="A70" s="112" t="s">
        <v>79</v>
      </c>
      <c r="B70" s="113" t="s">
        <v>80</v>
      </c>
      <c r="C70" s="113" t="s">
        <v>0</v>
      </c>
      <c r="D70" s="113" t="s">
        <v>0</v>
      </c>
      <c r="E70" s="113" t="s">
        <v>0</v>
      </c>
      <c r="F70" s="113" t="s">
        <v>0</v>
      </c>
      <c r="G70" s="113" t="s">
        <v>0</v>
      </c>
      <c r="H70" s="114" t="s">
        <v>0</v>
      </c>
      <c r="I70" s="114" t="s">
        <v>0</v>
      </c>
      <c r="J70" s="114" t="s">
        <v>0</v>
      </c>
      <c r="K70" s="114" t="s">
        <v>0</v>
      </c>
      <c r="L70" s="114" t="s">
        <v>0</v>
      </c>
      <c r="M70" s="105">
        <f>M71</f>
        <v>273431159.51999998</v>
      </c>
      <c r="N70" s="105">
        <f t="shared" ref="N70:O70" si="15">N71</f>
        <v>271841133.96000004</v>
      </c>
      <c r="O70" s="105">
        <f t="shared" si="15"/>
        <v>271841133.96000004</v>
      </c>
      <c r="P70" s="157">
        <f t="shared" si="2"/>
        <v>0.99418491454013069</v>
      </c>
    </row>
    <row r="71" spans="1:16" s="101" customFormat="1" ht="47.25" x14ac:dyDescent="0.2">
      <c r="A71" s="112" t="s">
        <v>87</v>
      </c>
      <c r="B71" s="113" t="s">
        <v>80</v>
      </c>
      <c r="C71" s="113" t="s">
        <v>21</v>
      </c>
      <c r="D71" s="113" t="s">
        <v>0</v>
      </c>
      <c r="E71" s="113" t="s">
        <v>0</v>
      </c>
      <c r="F71" s="113" t="s">
        <v>0</v>
      </c>
      <c r="G71" s="113" t="s">
        <v>0</v>
      </c>
      <c r="H71" s="114" t="s">
        <v>0</v>
      </c>
      <c r="I71" s="114" t="s">
        <v>0</v>
      </c>
      <c r="J71" s="114" t="s">
        <v>0</v>
      </c>
      <c r="K71" s="114" t="s">
        <v>0</v>
      </c>
      <c r="L71" s="114" t="s">
        <v>0</v>
      </c>
      <c r="M71" s="105">
        <f t="shared" ref="M71:O77" si="16">M72</f>
        <v>273431159.51999998</v>
      </c>
      <c r="N71" s="105">
        <f t="shared" si="16"/>
        <v>271841133.96000004</v>
      </c>
      <c r="O71" s="105">
        <f t="shared" si="16"/>
        <v>271841133.96000004</v>
      </c>
      <c r="P71" s="157">
        <f t="shared" si="2"/>
        <v>0.99418491454013069</v>
      </c>
    </row>
    <row r="72" spans="1:16" s="101" customFormat="1" ht="94.5" x14ac:dyDescent="0.2">
      <c r="A72" s="112" t="s">
        <v>88</v>
      </c>
      <c r="B72" s="113" t="s">
        <v>80</v>
      </c>
      <c r="C72" s="113" t="s">
        <v>21</v>
      </c>
      <c r="D72" s="113" t="s">
        <v>89</v>
      </c>
      <c r="E72" s="113" t="s">
        <v>0</v>
      </c>
      <c r="F72" s="113" t="s">
        <v>0</v>
      </c>
      <c r="G72" s="113" t="s">
        <v>0</v>
      </c>
      <c r="H72" s="114" t="s">
        <v>0</v>
      </c>
      <c r="I72" s="114" t="s">
        <v>0</v>
      </c>
      <c r="J72" s="114" t="s">
        <v>0</v>
      </c>
      <c r="K72" s="114" t="s">
        <v>0</v>
      </c>
      <c r="L72" s="114" t="s">
        <v>0</v>
      </c>
      <c r="M72" s="105">
        <f t="shared" si="16"/>
        <v>273431159.51999998</v>
      </c>
      <c r="N72" s="105">
        <f t="shared" si="16"/>
        <v>271841133.96000004</v>
      </c>
      <c r="O72" s="105">
        <f t="shared" si="16"/>
        <v>271841133.96000004</v>
      </c>
      <c r="P72" s="157">
        <f t="shared" si="2"/>
        <v>0.99418491454013069</v>
      </c>
    </row>
    <row r="73" spans="1:16" s="101" customFormat="1" ht="31.5" x14ac:dyDescent="0.2">
      <c r="A73" s="112" t="s">
        <v>288</v>
      </c>
      <c r="B73" s="113" t="s">
        <v>80</v>
      </c>
      <c r="C73" s="113" t="s">
        <v>21</v>
      </c>
      <c r="D73" s="113" t="s">
        <v>89</v>
      </c>
      <c r="E73" s="113" t="s">
        <v>66</v>
      </c>
      <c r="F73" s="113" t="s">
        <v>0</v>
      </c>
      <c r="G73" s="113" t="s">
        <v>0</v>
      </c>
      <c r="H73" s="114" t="s">
        <v>0</v>
      </c>
      <c r="I73" s="114" t="s">
        <v>0</v>
      </c>
      <c r="J73" s="114" t="s">
        <v>0</v>
      </c>
      <c r="K73" s="114" t="s">
        <v>0</v>
      </c>
      <c r="L73" s="114" t="s">
        <v>0</v>
      </c>
      <c r="M73" s="105">
        <f t="shared" si="16"/>
        <v>273431159.51999998</v>
      </c>
      <c r="N73" s="105">
        <f t="shared" si="16"/>
        <v>271841133.96000004</v>
      </c>
      <c r="O73" s="105">
        <f t="shared" si="16"/>
        <v>271841133.96000004</v>
      </c>
      <c r="P73" s="157">
        <f t="shared" ref="P73:P136" si="17">O73/M73</f>
        <v>0.99418491454013069</v>
      </c>
    </row>
    <row r="74" spans="1:16" s="101" customFormat="1" ht="63" x14ac:dyDescent="0.2">
      <c r="A74" s="112" t="s">
        <v>289</v>
      </c>
      <c r="B74" s="113" t="s">
        <v>80</v>
      </c>
      <c r="C74" s="113" t="s">
        <v>21</v>
      </c>
      <c r="D74" s="113" t="s">
        <v>89</v>
      </c>
      <c r="E74" s="113" t="s">
        <v>66</v>
      </c>
      <c r="F74" s="113" t="s">
        <v>0</v>
      </c>
      <c r="G74" s="113" t="s">
        <v>0</v>
      </c>
      <c r="H74" s="114" t="s">
        <v>0</v>
      </c>
      <c r="I74" s="114" t="s">
        <v>0</v>
      </c>
      <c r="J74" s="114" t="s">
        <v>0</v>
      </c>
      <c r="K74" s="114" t="s">
        <v>0</v>
      </c>
      <c r="L74" s="114" t="s">
        <v>0</v>
      </c>
      <c r="M74" s="105">
        <f t="shared" si="16"/>
        <v>273431159.51999998</v>
      </c>
      <c r="N74" s="105">
        <f t="shared" si="16"/>
        <v>271841133.96000004</v>
      </c>
      <c r="O74" s="105">
        <f t="shared" si="16"/>
        <v>271841133.96000004</v>
      </c>
      <c r="P74" s="157">
        <f t="shared" si="17"/>
        <v>0.99418491454013069</v>
      </c>
    </row>
    <row r="75" spans="1:16" s="101" customFormat="1" ht="15.75" x14ac:dyDescent="0.2">
      <c r="A75" s="115" t="s">
        <v>84</v>
      </c>
      <c r="B75" s="113" t="s">
        <v>80</v>
      </c>
      <c r="C75" s="113" t="s">
        <v>21</v>
      </c>
      <c r="D75" s="113" t="s">
        <v>89</v>
      </c>
      <c r="E75" s="113" t="s">
        <v>66</v>
      </c>
      <c r="F75" s="113" t="s">
        <v>85</v>
      </c>
      <c r="G75" s="113" t="s">
        <v>0</v>
      </c>
      <c r="H75" s="113" t="s">
        <v>0</v>
      </c>
      <c r="I75" s="113" t="s">
        <v>0</v>
      </c>
      <c r="J75" s="113" t="s">
        <v>0</v>
      </c>
      <c r="K75" s="113" t="s">
        <v>0</v>
      </c>
      <c r="L75" s="113" t="s">
        <v>0</v>
      </c>
      <c r="M75" s="105">
        <f t="shared" si="16"/>
        <v>273431159.51999998</v>
      </c>
      <c r="N75" s="105">
        <f t="shared" si="16"/>
        <v>271841133.96000004</v>
      </c>
      <c r="O75" s="105">
        <f t="shared" si="16"/>
        <v>271841133.96000004</v>
      </c>
      <c r="P75" s="157">
        <f t="shared" si="17"/>
        <v>0.99418491454013069</v>
      </c>
    </row>
    <row r="76" spans="1:16" s="101" customFormat="1" ht="31.5" x14ac:dyDescent="0.2">
      <c r="A76" s="115" t="s">
        <v>90</v>
      </c>
      <c r="B76" s="113" t="s">
        <v>80</v>
      </c>
      <c r="C76" s="113" t="s">
        <v>21</v>
      </c>
      <c r="D76" s="113" t="s">
        <v>89</v>
      </c>
      <c r="E76" s="113" t="s">
        <v>66</v>
      </c>
      <c r="F76" s="113" t="s">
        <v>85</v>
      </c>
      <c r="G76" s="113" t="s">
        <v>91</v>
      </c>
      <c r="H76" s="113" t="s">
        <v>0</v>
      </c>
      <c r="I76" s="113" t="s">
        <v>0</v>
      </c>
      <c r="J76" s="113" t="s">
        <v>0</v>
      </c>
      <c r="K76" s="113" t="s">
        <v>0</v>
      </c>
      <c r="L76" s="113" t="s">
        <v>0</v>
      </c>
      <c r="M76" s="105">
        <f t="shared" si="16"/>
        <v>273431159.51999998</v>
      </c>
      <c r="N76" s="105">
        <f t="shared" si="16"/>
        <v>271841133.96000004</v>
      </c>
      <c r="O76" s="105">
        <f t="shared" si="16"/>
        <v>271841133.96000004</v>
      </c>
      <c r="P76" s="157">
        <f t="shared" si="17"/>
        <v>0.99418491454013069</v>
      </c>
    </row>
    <row r="77" spans="1:16" s="101" customFormat="1" ht="31.5" x14ac:dyDescent="0.2">
      <c r="A77" s="112" t="s">
        <v>92</v>
      </c>
      <c r="B77" s="113" t="s">
        <v>80</v>
      </c>
      <c r="C77" s="113" t="s">
        <v>21</v>
      </c>
      <c r="D77" s="113" t="s">
        <v>89</v>
      </c>
      <c r="E77" s="113" t="s">
        <v>66</v>
      </c>
      <c r="F77" s="113" t="s">
        <v>85</v>
      </c>
      <c r="G77" s="113" t="s">
        <v>91</v>
      </c>
      <c r="H77" s="113" t="s">
        <v>285</v>
      </c>
      <c r="I77" s="114" t="s">
        <v>0</v>
      </c>
      <c r="J77" s="114" t="s">
        <v>0</v>
      </c>
      <c r="K77" s="114" t="s">
        <v>0</v>
      </c>
      <c r="L77" s="114" t="s">
        <v>0</v>
      </c>
      <c r="M77" s="105">
        <f t="shared" si="16"/>
        <v>273431159.51999998</v>
      </c>
      <c r="N77" s="105">
        <f t="shared" si="16"/>
        <v>271841133.96000004</v>
      </c>
      <c r="O77" s="105">
        <f t="shared" si="16"/>
        <v>271841133.96000004</v>
      </c>
      <c r="P77" s="157">
        <f t="shared" si="17"/>
        <v>0.99418491454013069</v>
      </c>
    </row>
    <row r="78" spans="1:16" s="101" customFormat="1" ht="63" x14ac:dyDescent="0.2">
      <c r="A78" s="102" t="s">
        <v>492</v>
      </c>
      <c r="B78" s="113" t="s">
        <v>80</v>
      </c>
      <c r="C78" s="113" t="s">
        <v>21</v>
      </c>
      <c r="D78" s="113" t="s">
        <v>89</v>
      </c>
      <c r="E78" s="113" t="s">
        <v>66</v>
      </c>
      <c r="F78" s="113" t="s">
        <v>85</v>
      </c>
      <c r="G78" s="113" t="s">
        <v>91</v>
      </c>
      <c r="H78" s="113" t="s">
        <v>285</v>
      </c>
      <c r="I78" s="113" t="s">
        <v>67</v>
      </c>
      <c r="J78" s="113" t="s">
        <v>0</v>
      </c>
      <c r="K78" s="113" t="s">
        <v>0</v>
      </c>
      <c r="L78" s="113" t="s">
        <v>0</v>
      </c>
      <c r="M78" s="105">
        <f>M79+M80+M81+M82+M83</f>
        <v>273431159.51999998</v>
      </c>
      <c r="N78" s="105">
        <f t="shared" ref="N78:O78" si="18">N79+N80+N81+N82+N83</f>
        <v>271841133.96000004</v>
      </c>
      <c r="O78" s="105">
        <f t="shared" si="18"/>
        <v>271841133.96000004</v>
      </c>
      <c r="P78" s="157">
        <f t="shared" si="17"/>
        <v>0.99418491454013069</v>
      </c>
    </row>
    <row r="79" spans="1:16" s="101" customFormat="1" ht="63" x14ac:dyDescent="0.2">
      <c r="A79" s="96" t="s">
        <v>93</v>
      </c>
      <c r="B79" s="97" t="s">
        <v>80</v>
      </c>
      <c r="C79" s="97" t="s">
        <v>21</v>
      </c>
      <c r="D79" s="97" t="s">
        <v>89</v>
      </c>
      <c r="E79" s="97" t="s">
        <v>66</v>
      </c>
      <c r="F79" s="97" t="s">
        <v>85</v>
      </c>
      <c r="G79" s="97" t="s">
        <v>91</v>
      </c>
      <c r="H79" s="97" t="s">
        <v>285</v>
      </c>
      <c r="I79" s="97" t="s">
        <v>67</v>
      </c>
      <c r="J79" s="98" t="s">
        <v>94</v>
      </c>
      <c r="K79" s="98">
        <v>8.6300000000000008</v>
      </c>
      <c r="L79" s="116">
        <v>2018</v>
      </c>
      <c r="M79" s="99">
        <f>121140139+250000</f>
        <v>121390139</v>
      </c>
      <c r="N79" s="100">
        <v>120576420.64</v>
      </c>
      <c r="O79" s="141">
        <v>120576420.64</v>
      </c>
      <c r="P79" s="156">
        <f t="shared" si="17"/>
        <v>0.99329666835623276</v>
      </c>
    </row>
    <row r="80" spans="1:16" s="101" customFormat="1" ht="78.75" x14ac:dyDescent="0.2">
      <c r="A80" s="96" t="s">
        <v>95</v>
      </c>
      <c r="B80" s="97" t="s">
        <v>80</v>
      </c>
      <c r="C80" s="97" t="s">
        <v>21</v>
      </c>
      <c r="D80" s="97" t="s">
        <v>89</v>
      </c>
      <c r="E80" s="97" t="s">
        <v>66</v>
      </c>
      <c r="F80" s="97" t="s">
        <v>85</v>
      </c>
      <c r="G80" s="97" t="s">
        <v>91</v>
      </c>
      <c r="H80" s="97" t="s">
        <v>285</v>
      </c>
      <c r="I80" s="97" t="s">
        <v>67</v>
      </c>
      <c r="J80" s="98" t="s">
        <v>94</v>
      </c>
      <c r="K80" s="98">
        <v>6.65</v>
      </c>
      <c r="L80" s="116">
        <v>2018</v>
      </c>
      <c r="M80" s="99">
        <f>92549780+137000-50351</f>
        <v>92636429</v>
      </c>
      <c r="N80" s="100">
        <v>92629421.590000004</v>
      </c>
      <c r="O80" s="141">
        <v>92629421.590000004</v>
      </c>
      <c r="P80" s="156">
        <f t="shared" si="17"/>
        <v>0.99992435578448302</v>
      </c>
    </row>
    <row r="81" spans="1:16" s="101" customFormat="1" ht="78.75" x14ac:dyDescent="0.2">
      <c r="A81" s="96" t="s">
        <v>96</v>
      </c>
      <c r="B81" s="97" t="s">
        <v>80</v>
      </c>
      <c r="C81" s="97" t="s">
        <v>21</v>
      </c>
      <c r="D81" s="97" t="s">
        <v>89</v>
      </c>
      <c r="E81" s="97" t="s">
        <v>66</v>
      </c>
      <c r="F81" s="97" t="s">
        <v>85</v>
      </c>
      <c r="G81" s="97" t="s">
        <v>91</v>
      </c>
      <c r="H81" s="97" t="s">
        <v>285</v>
      </c>
      <c r="I81" s="97" t="s">
        <v>67</v>
      </c>
      <c r="J81" s="98" t="s">
        <v>94</v>
      </c>
      <c r="K81" s="98">
        <v>0.98499999999999999</v>
      </c>
      <c r="L81" s="116">
        <v>2018</v>
      </c>
      <c r="M81" s="99">
        <f>20908787+196000-161014</f>
        <v>20943773</v>
      </c>
      <c r="N81" s="100">
        <v>20649637.030000001</v>
      </c>
      <c r="O81" s="141">
        <v>20649637.030000001</v>
      </c>
      <c r="P81" s="156">
        <f t="shared" si="17"/>
        <v>0.98595592255511944</v>
      </c>
    </row>
    <row r="82" spans="1:16" s="101" customFormat="1" ht="78.75" x14ac:dyDescent="0.2">
      <c r="A82" s="96" t="s">
        <v>97</v>
      </c>
      <c r="B82" s="97" t="s">
        <v>80</v>
      </c>
      <c r="C82" s="97" t="s">
        <v>21</v>
      </c>
      <c r="D82" s="97" t="s">
        <v>89</v>
      </c>
      <c r="E82" s="97" t="s">
        <v>66</v>
      </c>
      <c r="F82" s="97" t="s">
        <v>85</v>
      </c>
      <c r="G82" s="97" t="s">
        <v>91</v>
      </c>
      <c r="H82" s="97" t="s">
        <v>285</v>
      </c>
      <c r="I82" s="97" t="s">
        <v>67</v>
      </c>
      <c r="J82" s="98" t="s">
        <v>94</v>
      </c>
      <c r="K82" s="98">
        <v>1</v>
      </c>
      <c r="L82" s="116">
        <v>2018</v>
      </c>
      <c r="M82" s="99">
        <f>13580993+39000-666</f>
        <v>13619327</v>
      </c>
      <c r="N82" s="100">
        <v>13144163.539999999</v>
      </c>
      <c r="O82" s="141">
        <v>13144163.539999999</v>
      </c>
      <c r="P82" s="156">
        <f t="shared" si="17"/>
        <v>0.96511109102527604</v>
      </c>
    </row>
    <row r="83" spans="1:16" s="101" customFormat="1" ht="63" x14ac:dyDescent="0.2">
      <c r="A83" s="96" t="s">
        <v>363</v>
      </c>
      <c r="B83" s="97" t="s">
        <v>80</v>
      </c>
      <c r="C83" s="97" t="s">
        <v>21</v>
      </c>
      <c r="D83" s="97" t="s">
        <v>89</v>
      </c>
      <c r="E83" s="97" t="s">
        <v>66</v>
      </c>
      <c r="F83" s="97" t="s">
        <v>85</v>
      </c>
      <c r="G83" s="97" t="s">
        <v>91</v>
      </c>
      <c r="H83" s="97" t="s">
        <v>285</v>
      </c>
      <c r="I83" s="97" t="s">
        <v>67</v>
      </c>
      <c r="J83" s="98" t="s">
        <v>94</v>
      </c>
      <c r="K83" s="98">
        <v>6.0609999999999999</v>
      </c>
      <c r="L83" s="116">
        <v>2018</v>
      </c>
      <c r="M83" s="99">
        <f>7501603.52+17339888</f>
        <v>24841491.52</v>
      </c>
      <c r="N83" s="100">
        <v>24841491.16</v>
      </c>
      <c r="O83" s="141">
        <v>24841491.16</v>
      </c>
      <c r="P83" s="156">
        <f t="shared" si="17"/>
        <v>0.99999998550811653</v>
      </c>
    </row>
    <row r="84" spans="1:16" s="101" customFormat="1" ht="94.5" x14ac:dyDescent="0.2">
      <c r="A84" s="112" t="s">
        <v>98</v>
      </c>
      <c r="B84" s="113" t="s">
        <v>99</v>
      </c>
      <c r="C84" s="113" t="s">
        <v>0</v>
      </c>
      <c r="D84" s="113" t="s">
        <v>0</v>
      </c>
      <c r="E84" s="113" t="s">
        <v>0</v>
      </c>
      <c r="F84" s="113" t="s">
        <v>0</v>
      </c>
      <c r="G84" s="113" t="s">
        <v>0</v>
      </c>
      <c r="H84" s="114" t="s">
        <v>0</v>
      </c>
      <c r="I84" s="114" t="s">
        <v>0</v>
      </c>
      <c r="J84" s="114" t="s">
        <v>0</v>
      </c>
      <c r="K84" s="114" t="s">
        <v>0</v>
      </c>
      <c r="L84" s="114" t="s">
        <v>0</v>
      </c>
      <c r="M84" s="105">
        <f>M94+M126+M141+M85</f>
        <v>460896937.25</v>
      </c>
      <c r="N84" s="105">
        <f t="shared" ref="N84:O84" si="19">N94+N126+N141+N85</f>
        <v>459664016.49000001</v>
      </c>
      <c r="O84" s="105">
        <f t="shared" si="19"/>
        <v>459664016.49000001</v>
      </c>
      <c r="P84" s="157">
        <f t="shared" si="17"/>
        <v>0.99732495345411409</v>
      </c>
    </row>
    <row r="85" spans="1:16" s="106" customFormat="1" ht="112.35" customHeight="1" x14ac:dyDescent="0.2">
      <c r="A85" s="102" t="s">
        <v>228</v>
      </c>
      <c r="B85" s="103" t="s">
        <v>99</v>
      </c>
      <c r="C85" s="103" t="s">
        <v>13</v>
      </c>
      <c r="D85" s="103" t="s">
        <v>0</v>
      </c>
      <c r="E85" s="103" t="s">
        <v>0</v>
      </c>
      <c r="F85" s="103" t="s">
        <v>0</v>
      </c>
      <c r="G85" s="103" t="s">
        <v>0</v>
      </c>
      <c r="H85" s="104" t="s">
        <v>0</v>
      </c>
      <c r="I85" s="104" t="s">
        <v>0</v>
      </c>
      <c r="J85" s="104" t="s">
        <v>0</v>
      </c>
      <c r="K85" s="104" t="s">
        <v>0</v>
      </c>
      <c r="L85" s="104" t="s">
        <v>0</v>
      </c>
      <c r="M85" s="105">
        <f t="shared" ref="M85:M89" si="20">M86</f>
        <v>6463704</v>
      </c>
      <c r="N85" s="105">
        <f t="shared" ref="N85:N92" si="21">N86</f>
        <v>6463704</v>
      </c>
      <c r="O85" s="105">
        <f t="shared" ref="O85:O92" si="22">O86</f>
        <v>6463704</v>
      </c>
      <c r="P85" s="157">
        <f t="shared" si="17"/>
        <v>1</v>
      </c>
    </row>
    <row r="86" spans="1:16" s="106" customFormat="1" ht="127.9" customHeight="1" x14ac:dyDescent="0.2">
      <c r="A86" s="102" t="s">
        <v>522</v>
      </c>
      <c r="B86" s="103" t="s">
        <v>99</v>
      </c>
      <c r="C86" s="103" t="s">
        <v>13</v>
      </c>
      <c r="D86" s="103" t="s">
        <v>25</v>
      </c>
      <c r="E86" s="103" t="s">
        <v>0</v>
      </c>
      <c r="F86" s="103" t="s">
        <v>0</v>
      </c>
      <c r="G86" s="103" t="s">
        <v>0</v>
      </c>
      <c r="H86" s="104" t="s">
        <v>0</v>
      </c>
      <c r="I86" s="104" t="s">
        <v>0</v>
      </c>
      <c r="J86" s="104" t="s">
        <v>0</v>
      </c>
      <c r="K86" s="104" t="s">
        <v>0</v>
      </c>
      <c r="L86" s="104" t="s">
        <v>0</v>
      </c>
      <c r="M86" s="105">
        <f t="shared" si="20"/>
        <v>6463704</v>
      </c>
      <c r="N86" s="105">
        <f t="shared" si="21"/>
        <v>6463704</v>
      </c>
      <c r="O86" s="105">
        <f t="shared" si="22"/>
        <v>6463704</v>
      </c>
      <c r="P86" s="157">
        <f t="shared" si="17"/>
        <v>1</v>
      </c>
    </row>
    <row r="87" spans="1:16" s="106" customFormat="1" ht="32.25" customHeight="1" x14ac:dyDescent="0.2">
      <c r="A87" s="102" t="s">
        <v>288</v>
      </c>
      <c r="B87" s="103" t="s">
        <v>99</v>
      </c>
      <c r="C87" s="103" t="s">
        <v>13</v>
      </c>
      <c r="D87" s="103" t="s">
        <v>25</v>
      </c>
      <c r="E87" s="103" t="s">
        <v>66</v>
      </c>
      <c r="F87" s="103" t="s">
        <v>0</v>
      </c>
      <c r="G87" s="103" t="s">
        <v>0</v>
      </c>
      <c r="H87" s="104" t="s">
        <v>0</v>
      </c>
      <c r="I87" s="104" t="s">
        <v>0</v>
      </c>
      <c r="J87" s="104" t="s">
        <v>0</v>
      </c>
      <c r="K87" s="104" t="s">
        <v>0</v>
      </c>
      <c r="L87" s="104" t="s">
        <v>0</v>
      </c>
      <c r="M87" s="105">
        <f t="shared" si="20"/>
        <v>6463704</v>
      </c>
      <c r="N87" s="105">
        <f t="shared" si="21"/>
        <v>6463704</v>
      </c>
      <c r="O87" s="105">
        <f t="shared" si="22"/>
        <v>6463704</v>
      </c>
      <c r="P87" s="157">
        <f t="shared" si="17"/>
        <v>1</v>
      </c>
    </row>
    <row r="88" spans="1:16" s="106" customFormat="1" ht="15" customHeight="1" x14ac:dyDescent="0.2">
      <c r="A88" s="102" t="s">
        <v>523</v>
      </c>
      <c r="B88" s="103" t="s">
        <v>99</v>
      </c>
      <c r="C88" s="103" t="s">
        <v>13</v>
      </c>
      <c r="D88" s="103" t="s">
        <v>25</v>
      </c>
      <c r="E88" s="103" t="s">
        <v>66</v>
      </c>
      <c r="F88" s="103" t="s">
        <v>0</v>
      </c>
      <c r="G88" s="103" t="s">
        <v>0</v>
      </c>
      <c r="H88" s="104" t="s">
        <v>0</v>
      </c>
      <c r="I88" s="104" t="s">
        <v>0</v>
      </c>
      <c r="J88" s="104" t="s">
        <v>0</v>
      </c>
      <c r="K88" s="104" t="s">
        <v>0</v>
      </c>
      <c r="L88" s="104" t="s">
        <v>0</v>
      </c>
      <c r="M88" s="105">
        <f t="shared" si="20"/>
        <v>6463704</v>
      </c>
      <c r="N88" s="105">
        <f t="shared" si="21"/>
        <v>6463704</v>
      </c>
      <c r="O88" s="105">
        <f t="shared" si="22"/>
        <v>6463704</v>
      </c>
      <c r="P88" s="157">
        <f t="shared" si="17"/>
        <v>1</v>
      </c>
    </row>
    <row r="89" spans="1:16" s="106" customFormat="1" ht="15" customHeight="1" x14ac:dyDescent="0.2">
      <c r="A89" s="107" t="s">
        <v>31</v>
      </c>
      <c r="B89" s="103" t="s">
        <v>99</v>
      </c>
      <c r="C89" s="103" t="s">
        <v>13</v>
      </c>
      <c r="D89" s="103" t="s">
        <v>25</v>
      </c>
      <c r="E89" s="103" t="s">
        <v>66</v>
      </c>
      <c r="F89" s="103" t="s">
        <v>32</v>
      </c>
      <c r="G89" s="103" t="s">
        <v>0</v>
      </c>
      <c r="H89" s="103" t="s">
        <v>0</v>
      </c>
      <c r="I89" s="103" t="s">
        <v>0</v>
      </c>
      <c r="J89" s="103" t="s">
        <v>0</v>
      </c>
      <c r="K89" s="103" t="s">
        <v>0</v>
      </c>
      <c r="L89" s="103" t="s">
        <v>0</v>
      </c>
      <c r="M89" s="105">
        <f t="shared" si="20"/>
        <v>6463704</v>
      </c>
      <c r="N89" s="105">
        <f t="shared" si="21"/>
        <v>6463704</v>
      </c>
      <c r="O89" s="105">
        <f t="shared" si="22"/>
        <v>6463704</v>
      </c>
      <c r="P89" s="157">
        <f t="shared" si="17"/>
        <v>1</v>
      </c>
    </row>
    <row r="90" spans="1:16" s="106" customFormat="1" ht="15" customHeight="1" x14ac:dyDescent="0.2">
      <c r="A90" s="107" t="s">
        <v>33</v>
      </c>
      <c r="B90" s="103" t="s">
        <v>99</v>
      </c>
      <c r="C90" s="103" t="s">
        <v>13</v>
      </c>
      <c r="D90" s="103" t="s">
        <v>25</v>
      </c>
      <c r="E90" s="103" t="s">
        <v>66</v>
      </c>
      <c r="F90" s="103" t="s">
        <v>32</v>
      </c>
      <c r="G90" s="103" t="s">
        <v>34</v>
      </c>
      <c r="H90" s="103" t="s">
        <v>0</v>
      </c>
      <c r="I90" s="103" t="s">
        <v>0</v>
      </c>
      <c r="J90" s="103" t="s">
        <v>0</v>
      </c>
      <c r="K90" s="103" t="s">
        <v>0</v>
      </c>
      <c r="L90" s="103" t="s">
        <v>0</v>
      </c>
      <c r="M90" s="105">
        <f>M91</f>
        <v>6463704</v>
      </c>
      <c r="N90" s="105">
        <f t="shared" si="21"/>
        <v>6463704</v>
      </c>
      <c r="O90" s="105">
        <f t="shared" si="22"/>
        <v>6463704</v>
      </c>
      <c r="P90" s="157">
        <f t="shared" si="17"/>
        <v>1</v>
      </c>
    </row>
    <row r="91" spans="1:16" s="106" customFormat="1" ht="48.95" customHeight="1" x14ac:dyDescent="0.2">
      <c r="A91" s="102" t="s">
        <v>35</v>
      </c>
      <c r="B91" s="103" t="s">
        <v>99</v>
      </c>
      <c r="C91" s="103" t="s">
        <v>13</v>
      </c>
      <c r="D91" s="103" t="s">
        <v>25</v>
      </c>
      <c r="E91" s="103" t="s">
        <v>66</v>
      </c>
      <c r="F91" s="103" t="s">
        <v>32</v>
      </c>
      <c r="G91" s="103" t="s">
        <v>34</v>
      </c>
      <c r="H91" s="103" t="s">
        <v>36</v>
      </c>
      <c r="I91" s="104" t="s">
        <v>0</v>
      </c>
      <c r="J91" s="104" t="s">
        <v>0</v>
      </c>
      <c r="K91" s="104" t="s">
        <v>0</v>
      </c>
      <c r="L91" s="104" t="s">
        <v>0</v>
      </c>
      <c r="M91" s="105">
        <f>M92</f>
        <v>6463704</v>
      </c>
      <c r="N91" s="105">
        <f t="shared" si="21"/>
        <v>6463704</v>
      </c>
      <c r="O91" s="105">
        <f t="shared" si="22"/>
        <v>6463704</v>
      </c>
      <c r="P91" s="157">
        <f t="shared" si="17"/>
        <v>1</v>
      </c>
    </row>
    <row r="92" spans="1:16" s="106" customFormat="1" ht="64.5" customHeight="1" x14ac:dyDescent="0.2">
      <c r="A92" s="102" t="s">
        <v>492</v>
      </c>
      <c r="B92" s="103" t="s">
        <v>99</v>
      </c>
      <c r="C92" s="103" t="s">
        <v>13</v>
      </c>
      <c r="D92" s="103" t="s">
        <v>25</v>
      </c>
      <c r="E92" s="103" t="s">
        <v>66</v>
      </c>
      <c r="F92" s="103" t="s">
        <v>32</v>
      </c>
      <c r="G92" s="103" t="s">
        <v>34</v>
      </c>
      <c r="H92" s="103" t="s">
        <v>36</v>
      </c>
      <c r="I92" s="103" t="s">
        <v>67</v>
      </c>
      <c r="J92" s="103" t="s">
        <v>0</v>
      </c>
      <c r="K92" s="103" t="s">
        <v>0</v>
      </c>
      <c r="L92" s="103" t="s">
        <v>0</v>
      </c>
      <c r="M92" s="105">
        <f>M93</f>
        <v>6463704</v>
      </c>
      <c r="N92" s="105">
        <f t="shared" si="21"/>
        <v>6463704</v>
      </c>
      <c r="O92" s="105">
        <f t="shared" si="22"/>
        <v>6463704</v>
      </c>
      <c r="P92" s="157">
        <f t="shared" si="17"/>
        <v>1</v>
      </c>
    </row>
    <row r="93" spans="1:16" s="101" customFormat="1" ht="31.5" x14ac:dyDescent="0.2">
      <c r="A93" s="96" t="s">
        <v>521</v>
      </c>
      <c r="B93" s="97" t="s">
        <v>99</v>
      </c>
      <c r="C93" s="97">
        <v>1</v>
      </c>
      <c r="D93" s="97">
        <v>13</v>
      </c>
      <c r="E93" s="97" t="s">
        <v>66</v>
      </c>
      <c r="F93" s="97" t="s">
        <v>32</v>
      </c>
      <c r="G93" s="97" t="s">
        <v>34</v>
      </c>
      <c r="H93" s="97" t="s">
        <v>36</v>
      </c>
      <c r="I93" s="97" t="s">
        <v>67</v>
      </c>
      <c r="J93" s="98"/>
      <c r="K93" s="98" t="s">
        <v>0</v>
      </c>
      <c r="L93" s="116"/>
      <c r="M93" s="99">
        <v>6463704</v>
      </c>
      <c r="N93" s="100">
        <v>6463704</v>
      </c>
      <c r="O93" s="141">
        <v>6463704</v>
      </c>
      <c r="P93" s="156">
        <f t="shared" si="17"/>
        <v>1</v>
      </c>
    </row>
    <row r="94" spans="1:16" s="101" customFormat="1" ht="63" x14ac:dyDescent="0.2">
      <c r="A94" s="112" t="s">
        <v>100</v>
      </c>
      <c r="B94" s="113" t="s">
        <v>99</v>
      </c>
      <c r="C94" s="113" t="s">
        <v>14</v>
      </c>
      <c r="D94" s="113" t="s">
        <v>0</v>
      </c>
      <c r="E94" s="113" t="s">
        <v>0</v>
      </c>
      <c r="F94" s="113" t="s">
        <v>0</v>
      </c>
      <c r="G94" s="113" t="s">
        <v>0</v>
      </c>
      <c r="H94" s="114" t="s">
        <v>0</v>
      </c>
      <c r="I94" s="114" t="s">
        <v>0</v>
      </c>
      <c r="J94" s="114" t="s">
        <v>0</v>
      </c>
      <c r="K94" s="114" t="s">
        <v>0</v>
      </c>
      <c r="L94" s="114" t="s">
        <v>0</v>
      </c>
      <c r="M94" s="105">
        <f>M95+M107+M118</f>
        <v>10030707.609999999</v>
      </c>
      <c r="N94" s="105">
        <f t="shared" ref="N94:O94" si="23">N95+N107+N118</f>
        <v>10030707.609999999</v>
      </c>
      <c r="O94" s="105">
        <f t="shared" si="23"/>
        <v>10030707.609999999</v>
      </c>
      <c r="P94" s="157">
        <f t="shared" si="17"/>
        <v>1</v>
      </c>
    </row>
    <row r="95" spans="1:16" s="101" customFormat="1" ht="47.25" x14ac:dyDescent="0.2">
      <c r="A95" s="112" t="s">
        <v>279</v>
      </c>
      <c r="B95" s="113" t="s">
        <v>99</v>
      </c>
      <c r="C95" s="113" t="s">
        <v>14</v>
      </c>
      <c r="D95" s="113" t="s">
        <v>72</v>
      </c>
      <c r="E95" s="113" t="s">
        <v>0</v>
      </c>
      <c r="F95" s="113" t="s">
        <v>0</v>
      </c>
      <c r="G95" s="113" t="s">
        <v>0</v>
      </c>
      <c r="H95" s="114" t="s">
        <v>0</v>
      </c>
      <c r="I95" s="114" t="s">
        <v>0</v>
      </c>
      <c r="J95" s="114" t="s">
        <v>0</v>
      </c>
      <c r="K95" s="114" t="s">
        <v>0</v>
      </c>
      <c r="L95" s="114" t="s">
        <v>0</v>
      </c>
      <c r="M95" s="105">
        <f t="shared" ref="M95:O100" si="24">M96</f>
        <v>3697457.62</v>
      </c>
      <c r="N95" s="105">
        <f t="shared" si="24"/>
        <v>3697457.62</v>
      </c>
      <c r="O95" s="105">
        <f t="shared" si="24"/>
        <v>3697457.62</v>
      </c>
      <c r="P95" s="157">
        <f t="shared" si="17"/>
        <v>1</v>
      </c>
    </row>
    <row r="96" spans="1:16" s="101" customFormat="1" ht="31.5" x14ac:dyDescent="0.2">
      <c r="A96" s="112" t="s">
        <v>288</v>
      </c>
      <c r="B96" s="113" t="s">
        <v>99</v>
      </c>
      <c r="C96" s="113" t="s">
        <v>14</v>
      </c>
      <c r="D96" s="113" t="s">
        <v>72</v>
      </c>
      <c r="E96" s="113" t="s">
        <v>66</v>
      </c>
      <c r="F96" s="113" t="s">
        <v>0</v>
      </c>
      <c r="G96" s="113" t="s">
        <v>0</v>
      </c>
      <c r="H96" s="114" t="s">
        <v>0</v>
      </c>
      <c r="I96" s="114" t="s">
        <v>0</v>
      </c>
      <c r="J96" s="114" t="s">
        <v>0</v>
      </c>
      <c r="K96" s="114" t="s">
        <v>0</v>
      </c>
      <c r="L96" s="114" t="s">
        <v>0</v>
      </c>
      <c r="M96" s="105">
        <f t="shared" si="24"/>
        <v>3697457.62</v>
      </c>
      <c r="N96" s="105">
        <f t="shared" si="24"/>
        <v>3697457.62</v>
      </c>
      <c r="O96" s="105">
        <f t="shared" si="24"/>
        <v>3697457.62</v>
      </c>
      <c r="P96" s="157">
        <f t="shared" si="17"/>
        <v>1</v>
      </c>
    </row>
    <row r="97" spans="1:16" s="101" customFormat="1" ht="78.75" x14ac:dyDescent="0.2">
      <c r="A97" s="112" t="s">
        <v>287</v>
      </c>
      <c r="B97" s="113" t="s">
        <v>99</v>
      </c>
      <c r="C97" s="113" t="s">
        <v>14</v>
      </c>
      <c r="D97" s="113" t="s">
        <v>72</v>
      </c>
      <c r="E97" s="113" t="s">
        <v>66</v>
      </c>
      <c r="F97" s="113" t="s">
        <v>0</v>
      </c>
      <c r="G97" s="113" t="s">
        <v>0</v>
      </c>
      <c r="H97" s="114" t="s">
        <v>0</v>
      </c>
      <c r="I97" s="114" t="s">
        <v>0</v>
      </c>
      <c r="J97" s="114" t="s">
        <v>0</v>
      </c>
      <c r="K97" s="114" t="s">
        <v>0</v>
      </c>
      <c r="L97" s="114" t="s">
        <v>0</v>
      </c>
      <c r="M97" s="105">
        <f t="shared" si="24"/>
        <v>3697457.62</v>
      </c>
      <c r="N97" s="105">
        <f t="shared" si="24"/>
        <v>3697457.62</v>
      </c>
      <c r="O97" s="105">
        <f t="shared" si="24"/>
        <v>3697457.62</v>
      </c>
      <c r="P97" s="157">
        <f t="shared" si="17"/>
        <v>1</v>
      </c>
    </row>
    <row r="98" spans="1:16" s="101" customFormat="1" ht="31.5" x14ac:dyDescent="0.2">
      <c r="A98" s="115" t="s">
        <v>31</v>
      </c>
      <c r="B98" s="113" t="s">
        <v>99</v>
      </c>
      <c r="C98" s="113" t="s">
        <v>14</v>
      </c>
      <c r="D98" s="113" t="s">
        <v>72</v>
      </c>
      <c r="E98" s="113" t="s">
        <v>66</v>
      </c>
      <c r="F98" s="113" t="s">
        <v>32</v>
      </c>
      <c r="G98" s="113" t="s">
        <v>0</v>
      </c>
      <c r="H98" s="113" t="s">
        <v>0</v>
      </c>
      <c r="I98" s="113" t="s">
        <v>0</v>
      </c>
      <c r="J98" s="113" t="s">
        <v>0</v>
      </c>
      <c r="K98" s="113" t="s">
        <v>0</v>
      </c>
      <c r="L98" s="113" t="s">
        <v>0</v>
      </c>
      <c r="M98" s="105">
        <f t="shared" si="24"/>
        <v>3697457.62</v>
      </c>
      <c r="N98" s="105">
        <f t="shared" si="24"/>
        <v>3697457.62</v>
      </c>
      <c r="O98" s="105">
        <f t="shared" si="24"/>
        <v>3697457.62</v>
      </c>
      <c r="P98" s="157">
        <f t="shared" si="17"/>
        <v>1</v>
      </c>
    </row>
    <row r="99" spans="1:16" s="101" customFormat="1" ht="15.75" x14ac:dyDescent="0.2">
      <c r="A99" s="115" t="s">
        <v>33</v>
      </c>
      <c r="B99" s="113" t="s">
        <v>99</v>
      </c>
      <c r="C99" s="113" t="s">
        <v>14</v>
      </c>
      <c r="D99" s="113" t="s">
        <v>72</v>
      </c>
      <c r="E99" s="113" t="s">
        <v>66</v>
      </c>
      <c r="F99" s="113" t="s">
        <v>32</v>
      </c>
      <c r="G99" s="113" t="s">
        <v>34</v>
      </c>
      <c r="H99" s="113" t="s">
        <v>0</v>
      </c>
      <c r="I99" s="113" t="s">
        <v>0</v>
      </c>
      <c r="J99" s="113" t="s">
        <v>0</v>
      </c>
      <c r="K99" s="113" t="s">
        <v>0</v>
      </c>
      <c r="L99" s="113" t="s">
        <v>0</v>
      </c>
      <c r="M99" s="105">
        <f t="shared" si="24"/>
        <v>3697457.62</v>
      </c>
      <c r="N99" s="105">
        <f t="shared" si="24"/>
        <v>3697457.62</v>
      </c>
      <c r="O99" s="105">
        <f t="shared" si="24"/>
        <v>3697457.62</v>
      </c>
      <c r="P99" s="157">
        <f t="shared" si="17"/>
        <v>1</v>
      </c>
    </row>
    <row r="100" spans="1:16" s="101" customFormat="1" ht="47.25" x14ac:dyDescent="0.2">
      <c r="A100" s="112" t="s">
        <v>35</v>
      </c>
      <c r="B100" s="113" t="s">
        <v>99</v>
      </c>
      <c r="C100" s="113" t="s">
        <v>14</v>
      </c>
      <c r="D100" s="113" t="s">
        <v>72</v>
      </c>
      <c r="E100" s="113" t="s">
        <v>66</v>
      </c>
      <c r="F100" s="113" t="s">
        <v>32</v>
      </c>
      <c r="G100" s="113" t="s">
        <v>34</v>
      </c>
      <c r="H100" s="113" t="s">
        <v>36</v>
      </c>
      <c r="I100" s="114" t="s">
        <v>0</v>
      </c>
      <c r="J100" s="114" t="s">
        <v>0</v>
      </c>
      <c r="K100" s="114" t="s">
        <v>0</v>
      </c>
      <c r="L100" s="114" t="s">
        <v>0</v>
      </c>
      <c r="M100" s="105">
        <f t="shared" si="24"/>
        <v>3697457.62</v>
      </c>
      <c r="N100" s="105">
        <f t="shared" si="24"/>
        <v>3697457.62</v>
      </c>
      <c r="O100" s="105">
        <f t="shared" si="24"/>
        <v>3697457.62</v>
      </c>
      <c r="P100" s="157">
        <f t="shared" si="17"/>
        <v>1</v>
      </c>
    </row>
    <row r="101" spans="1:16" s="101" customFormat="1" ht="63" x14ac:dyDescent="0.2">
      <c r="A101" s="102" t="s">
        <v>492</v>
      </c>
      <c r="B101" s="113" t="s">
        <v>99</v>
      </c>
      <c r="C101" s="113" t="s">
        <v>14</v>
      </c>
      <c r="D101" s="113" t="s">
        <v>72</v>
      </c>
      <c r="E101" s="113" t="s">
        <v>66</v>
      </c>
      <c r="F101" s="113" t="s">
        <v>32</v>
      </c>
      <c r="G101" s="113" t="s">
        <v>34</v>
      </c>
      <c r="H101" s="113" t="s">
        <v>36</v>
      </c>
      <c r="I101" s="113" t="s">
        <v>67</v>
      </c>
      <c r="J101" s="113" t="s">
        <v>0</v>
      </c>
      <c r="K101" s="113" t="s">
        <v>0</v>
      </c>
      <c r="L101" s="113" t="s">
        <v>0</v>
      </c>
      <c r="M101" s="105">
        <f>M102+M103+M104+M105+M106</f>
        <v>3697457.62</v>
      </c>
      <c r="N101" s="105">
        <f t="shared" ref="N101:O101" si="25">N102+N103+N104+N105+N106</f>
        <v>3697457.62</v>
      </c>
      <c r="O101" s="105">
        <f t="shared" si="25"/>
        <v>3697457.62</v>
      </c>
      <c r="P101" s="157">
        <f t="shared" si="17"/>
        <v>1</v>
      </c>
    </row>
    <row r="102" spans="1:16" s="101" customFormat="1" ht="63" x14ac:dyDescent="0.2">
      <c r="A102" s="96" t="s">
        <v>343</v>
      </c>
      <c r="B102" s="97" t="s">
        <v>99</v>
      </c>
      <c r="C102" s="97" t="s">
        <v>14</v>
      </c>
      <c r="D102" s="97" t="s">
        <v>72</v>
      </c>
      <c r="E102" s="97" t="s">
        <v>66</v>
      </c>
      <c r="F102" s="97" t="s">
        <v>32</v>
      </c>
      <c r="G102" s="97" t="s">
        <v>34</v>
      </c>
      <c r="H102" s="97" t="s">
        <v>36</v>
      </c>
      <c r="I102" s="97" t="s">
        <v>67</v>
      </c>
      <c r="J102" s="98"/>
      <c r="K102" s="98" t="s">
        <v>0</v>
      </c>
      <c r="L102" s="116">
        <v>2018</v>
      </c>
      <c r="M102" s="99">
        <f>4700000-1075077.81-2644477.07</f>
        <v>980445.12000000011</v>
      </c>
      <c r="N102" s="100">
        <v>980445.12</v>
      </c>
      <c r="O102" s="141">
        <v>980445.12</v>
      </c>
      <c r="P102" s="156">
        <f t="shared" si="17"/>
        <v>0.99999999999999989</v>
      </c>
    </row>
    <row r="103" spans="1:16" s="101" customFormat="1" ht="63" x14ac:dyDescent="0.2">
      <c r="A103" s="96" t="s">
        <v>399</v>
      </c>
      <c r="B103" s="97" t="s">
        <v>99</v>
      </c>
      <c r="C103" s="97" t="s">
        <v>14</v>
      </c>
      <c r="D103" s="97" t="s">
        <v>72</v>
      </c>
      <c r="E103" s="97" t="s">
        <v>66</v>
      </c>
      <c r="F103" s="97" t="s">
        <v>32</v>
      </c>
      <c r="G103" s="97" t="s">
        <v>34</v>
      </c>
      <c r="H103" s="97" t="s">
        <v>36</v>
      </c>
      <c r="I103" s="97" t="s">
        <v>67</v>
      </c>
      <c r="J103" s="98"/>
      <c r="K103" s="98" t="s">
        <v>0</v>
      </c>
      <c r="L103" s="116">
        <v>2018</v>
      </c>
      <c r="M103" s="99">
        <f>1400000-509915.52-126231.55</f>
        <v>763852.92999999993</v>
      </c>
      <c r="N103" s="99">
        <f>1400000-509915.52-126231.55</f>
        <v>763852.92999999993</v>
      </c>
      <c r="O103" s="99">
        <f>1400000-509915.52-126231.55</f>
        <v>763852.92999999993</v>
      </c>
      <c r="P103" s="156">
        <f t="shared" si="17"/>
        <v>1</v>
      </c>
    </row>
    <row r="104" spans="1:16" s="101" customFormat="1" ht="63" x14ac:dyDescent="0.2">
      <c r="A104" s="96" t="s">
        <v>400</v>
      </c>
      <c r="B104" s="97" t="s">
        <v>99</v>
      </c>
      <c r="C104" s="97" t="s">
        <v>14</v>
      </c>
      <c r="D104" s="97" t="s">
        <v>72</v>
      </c>
      <c r="E104" s="97" t="s">
        <v>66</v>
      </c>
      <c r="F104" s="97" t="s">
        <v>32</v>
      </c>
      <c r="G104" s="97" t="s">
        <v>34</v>
      </c>
      <c r="H104" s="97" t="s">
        <v>36</v>
      </c>
      <c r="I104" s="97" t="s">
        <v>67</v>
      </c>
      <c r="J104" s="98"/>
      <c r="K104" s="98" t="s">
        <v>0</v>
      </c>
      <c r="L104" s="116">
        <v>2018</v>
      </c>
      <c r="M104" s="99">
        <f>1500000-794542.72-121569.07</f>
        <v>583888.21</v>
      </c>
      <c r="N104" s="99">
        <f>1500000-794542.72-121569.07</f>
        <v>583888.21</v>
      </c>
      <c r="O104" s="99">
        <f>1500000-794542.72-121569.07</f>
        <v>583888.21</v>
      </c>
      <c r="P104" s="156">
        <f t="shared" si="17"/>
        <v>1</v>
      </c>
    </row>
    <row r="105" spans="1:16" s="101" customFormat="1" ht="63" x14ac:dyDescent="0.2">
      <c r="A105" s="96" t="s">
        <v>401</v>
      </c>
      <c r="B105" s="97" t="s">
        <v>99</v>
      </c>
      <c r="C105" s="97" t="s">
        <v>14</v>
      </c>
      <c r="D105" s="97" t="s">
        <v>72</v>
      </c>
      <c r="E105" s="97" t="s">
        <v>66</v>
      </c>
      <c r="F105" s="97" t="s">
        <v>32</v>
      </c>
      <c r="G105" s="97" t="s">
        <v>34</v>
      </c>
      <c r="H105" s="97" t="s">
        <v>36</v>
      </c>
      <c r="I105" s="97" t="s">
        <v>67</v>
      </c>
      <c r="J105" s="98"/>
      <c r="K105" s="98" t="s">
        <v>0</v>
      </c>
      <c r="L105" s="116">
        <v>2018</v>
      </c>
      <c r="M105" s="99">
        <f>1300000-534741.92-76059.5</f>
        <v>689198.58</v>
      </c>
      <c r="N105" s="99">
        <f>1300000-534741.92-76059.5</f>
        <v>689198.58</v>
      </c>
      <c r="O105" s="99">
        <f>1300000-534741.92-76059.5</f>
        <v>689198.58</v>
      </c>
      <c r="P105" s="156">
        <f t="shared" si="17"/>
        <v>1</v>
      </c>
    </row>
    <row r="106" spans="1:16" s="101" customFormat="1" ht="63" x14ac:dyDescent="0.2">
      <c r="A106" s="96" t="s">
        <v>402</v>
      </c>
      <c r="B106" s="97" t="s">
        <v>99</v>
      </c>
      <c r="C106" s="97" t="s">
        <v>14</v>
      </c>
      <c r="D106" s="97" t="s">
        <v>72</v>
      </c>
      <c r="E106" s="97" t="s">
        <v>66</v>
      </c>
      <c r="F106" s="97" t="s">
        <v>32</v>
      </c>
      <c r="G106" s="97" t="s">
        <v>34</v>
      </c>
      <c r="H106" s="97" t="s">
        <v>36</v>
      </c>
      <c r="I106" s="97" t="s">
        <v>67</v>
      </c>
      <c r="J106" s="98"/>
      <c r="K106" s="98" t="s">
        <v>0</v>
      </c>
      <c r="L106" s="116">
        <v>2018</v>
      </c>
      <c r="M106" s="99">
        <f>1100000-240050.76-179876.46</f>
        <v>680072.78</v>
      </c>
      <c r="N106" s="99">
        <f>1100000-240050.76-179876.46</f>
        <v>680072.78</v>
      </c>
      <c r="O106" s="99">
        <f>1100000-240050.76-179876.46</f>
        <v>680072.78</v>
      </c>
      <c r="P106" s="156">
        <f t="shared" si="17"/>
        <v>1</v>
      </c>
    </row>
    <row r="107" spans="1:16" s="101" customFormat="1" ht="47.25" x14ac:dyDescent="0.2">
      <c r="A107" s="112" t="s">
        <v>280</v>
      </c>
      <c r="B107" s="113" t="s">
        <v>99</v>
      </c>
      <c r="C107" s="113" t="s">
        <v>14</v>
      </c>
      <c r="D107" s="113">
        <v>17</v>
      </c>
      <c r="E107" s="113" t="s">
        <v>0</v>
      </c>
      <c r="F107" s="113" t="s">
        <v>0</v>
      </c>
      <c r="G107" s="113" t="s">
        <v>0</v>
      </c>
      <c r="H107" s="114" t="s">
        <v>0</v>
      </c>
      <c r="I107" s="114" t="s">
        <v>0</v>
      </c>
      <c r="J107" s="114" t="s">
        <v>0</v>
      </c>
      <c r="K107" s="114" t="s">
        <v>0</v>
      </c>
      <c r="L107" s="114" t="s">
        <v>0</v>
      </c>
      <c r="M107" s="105">
        <f t="shared" ref="M107:O112" si="26">M108</f>
        <v>6140129.9900000002</v>
      </c>
      <c r="N107" s="105">
        <f t="shared" si="26"/>
        <v>6140129.9900000002</v>
      </c>
      <c r="O107" s="105">
        <f t="shared" si="26"/>
        <v>6140129.9900000002</v>
      </c>
      <c r="P107" s="157">
        <f t="shared" si="17"/>
        <v>1</v>
      </c>
    </row>
    <row r="108" spans="1:16" s="101" customFormat="1" ht="31.5" x14ac:dyDescent="0.2">
      <c r="A108" s="112" t="s">
        <v>288</v>
      </c>
      <c r="B108" s="113" t="s">
        <v>99</v>
      </c>
      <c r="C108" s="113" t="s">
        <v>14</v>
      </c>
      <c r="D108" s="113">
        <v>17</v>
      </c>
      <c r="E108" s="113" t="s">
        <v>66</v>
      </c>
      <c r="F108" s="113" t="s">
        <v>0</v>
      </c>
      <c r="G108" s="113" t="s">
        <v>0</v>
      </c>
      <c r="H108" s="114" t="s">
        <v>0</v>
      </c>
      <c r="I108" s="114" t="s">
        <v>0</v>
      </c>
      <c r="J108" s="114" t="s">
        <v>0</v>
      </c>
      <c r="K108" s="114" t="s">
        <v>0</v>
      </c>
      <c r="L108" s="114" t="s">
        <v>0</v>
      </c>
      <c r="M108" s="105">
        <f t="shared" si="26"/>
        <v>6140129.9900000002</v>
      </c>
      <c r="N108" s="105">
        <f t="shared" si="26"/>
        <v>6140129.9900000002</v>
      </c>
      <c r="O108" s="105">
        <f t="shared" si="26"/>
        <v>6140129.9900000002</v>
      </c>
      <c r="P108" s="157">
        <f t="shared" si="17"/>
        <v>1</v>
      </c>
    </row>
    <row r="109" spans="1:16" s="101" customFormat="1" ht="78.75" x14ac:dyDescent="0.2">
      <c r="A109" s="112" t="s">
        <v>287</v>
      </c>
      <c r="B109" s="113" t="s">
        <v>99</v>
      </c>
      <c r="C109" s="113" t="s">
        <v>14</v>
      </c>
      <c r="D109" s="113">
        <v>17</v>
      </c>
      <c r="E109" s="113" t="s">
        <v>66</v>
      </c>
      <c r="F109" s="113" t="s">
        <v>0</v>
      </c>
      <c r="G109" s="113" t="s">
        <v>0</v>
      </c>
      <c r="H109" s="114" t="s">
        <v>0</v>
      </c>
      <c r="I109" s="114" t="s">
        <v>0</v>
      </c>
      <c r="J109" s="114" t="s">
        <v>0</v>
      </c>
      <c r="K109" s="114" t="s">
        <v>0</v>
      </c>
      <c r="L109" s="114" t="s">
        <v>0</v>
      </c>
      <c r="M109" s="105">
        <f t="shared" si="26"/>
        <v>6140129.9900000002</v>
      </c>
      <c r="N109" s="105">
        <f t="shared" si="26"/>
        <v>6140129.9900000002</v>
      </c>
      <c r="O109" s="105">
        <f t="shared" si="26"/>
        <v>6140129.9900000002</v>
      </c>
      <c r="P109" s="157">
        <f t="shared" si="17"/>
        <v>1</v>
      </c>
    </row>
    <row r="110" spans="1:16" s="101" customFormat="1" ht="31.5" x14ac:dyDescent="0.2">
      <c r="A110" s="115" t="s">
        <v>31</v>
      </c>
      <c r="B110" s="113" t="s">
        <v>99</v>
      </c>
      <c r="C110" s="113" t="s">
        <v>14</v>
      </c>
      <c r="D110" s="113">
        <v>17</v>
      </c>
      <c r="E110" s="113" t="s">
        <v>66</v>
      </c>
      <c r="F110" s="113" t="s">
        <v>32</v>
      </c>
      <c r="G110" s="113" t="s">
        <v>0</v>
      </c>
      <c r="H110" s="113" t="s">
        <v>0</v>
      </c>
      <c r="I110" s="113" t="s">
        <v>0</v>
      </c>
      <c r="J110" s="113" t="s">
        <v>0</v>
      </c>
      <c r="K110" s="113" t="s">
        <v>0</v>
      </c>
      <c r="L110" s="113" t="s">
        <v>0</v>
      </c>
      <c r="M110" s="105">
        <f t="shared" si="26"/>
        <v>6140129.9900000002</v>
      </c>
      <c r="N110" s="105">
        <f t="shared" si="26"/>
        <v>6140129.9900000002</v>
      </c>
      <c r="O110" s="105">
        <f t="shared" si="26"/>
        <v>6140129.9900000002</v>
      </c>
      <c r="P110" s="157">
        <f t="shared" si="17"/>
        <v>1</v>
      </c>
    </row>
    <row r="111" spans="1:16" s="101" customFormat="1" ht="15.75" x14ac:dyDescent="0.2">
      <c r="A111" s="115" t="s">
        <v>33</v>
      </c>
      <c r="B111" s="113" t="s">
        <v>99</v>
      </c>
      <c r="C111" s="113" t="s">
        <v>14</v>
      </c>
      <c r="D111" s="113">
        <v>17</v>
      </c>
      <c r="E111" s="113" t="s">
        <v>66</v>
      </c>
      <c r="F111" s="113" t="s">
        <v>32</v>
      </c>
      <c r="G111" s="113" t="s">
        <v>34</v>
      </c>
      <c r="H111" s="113" t="s">
        <v>0</v>
      </c>
      <c r="I111" s="113" t="s">
        <v>0</v>
      </c>
      <c r="J111" s="113" t="s">
        <v>0</v>
      </c>
      <c r="K111" s="113" t="s">
        <v>0</v>
      </c>
      <c r="L111" s="113" t="s">
        <v>0</v>
      </c>
      <c r="M111" s="105">
        <f t="shared" si="26"/>
        <v>6140129.9900000002</v>
      </c>
      <c r="N111" s="105">
        <f t="shared" si="26"/>
        <v>6140129.9900000002</v>
      </c>
      <c r="O111" s="105">
        <f t="shared" si="26"/>
        <v>6140129.9900000002</v>
      </c>
      <c r="P111" s="157">
        <f t="shared" si="17"/>
        <v>1</v>
      </c>
    </row>
    <row r="112" spans="1:16" s="101" customFormat="1" ht="47.25" x14ac:dyDescent="0.2">
      <c r="A112" s="112" t="s">
        <v>35</v>
      </c>
      <c r="B112" s="113" t="s">
        <v>99</v>
      </c>
      <c r="C112" s="113" t="s">
        <v>14</v>
      </c>
      <c r="D112" s="113">
        <v>17</v>
      </c>
      <c r="E112" s="113" t="s">
        <v>66</v>
      </c>
      <c r="F112" s="113" t="s">
        <v>32</v>
      </c>
      <c r="G112" s="113" t="s">
        <v>34</v>
      </c>
      <c r="H112" s="113" t="s">
        <v>36</v>
      </c>
      <c r="I112" s="114" t="s">
        <v>0</v>
      </c>
      <c r="J112" s="114" t="s">
        <v>0</v>
      </c>
      <c r="K112" s="114" t="s">
        <v>0</v>
      </c>
      <c r="L112" s="114" t="s">
        <v>0</v>
      </c>
      <c r="M112" s="105">
        <f t="shared" si="26"/>
        <v>6140129.9900000002</v>
      </c>
      <c r="N112" s="105">
        <f t="shared" si="26"/>
        <v>6140129.9900000002</v>
      </c>
      <c r="O112" s="105">
        <f t="shared" si="26"/>
        <v>6140129.9900000002</v>
      </c>
      <c r="P112" s="157">
        <f t="shared" si="17"/>
        <v>1</v>
      </c>
    </row>
    <row r="113" spans="1:16" s="101" customFormat="1" ht="63" x14ac:dyDescent="0.2">
      <c r="A113" s="102" t="s">
        <v>492</v>
      </c>
      <c r="B113" s="113" t="s">
        <v>99</v>
      </c>
      <c r="C113" s="113" t="s">
        <v>14</v>
      </c>
      <c r="D113" s="113">
        <v>17</v>
      </c>
      <c r="E113" s="113" t="s">
        <v>66</v>
      </c>
      <c r="F113" s="113" t="s">
        <v>32</v>
      </c>
      <c r="G113" s="113" t="s">
        <v>34</v>
      </c>
      <c r="H113" s="113" t="s">
        <v>36</v>
      </c>
      <c r="I113" s="113" t="s">
        <v>67</v>
      </c>
      <c r="J113" s="113" t="s">
        <v>0</v>
      </c>
      <c r="K113" s="113" t="s">
        <v>0</v>
      </c>
      <c r="L113" s="113" t="s">
        <v>0</v>
      </c>
      <c r="M113" s="105">
        <f>M114+M115+M116+M117</f>
        <v>6140129.9900000002</v>
      </c>
      <c r="N113" s="105">
        <f t="shared" ref="N113:O113" si="27">N114+N115+N116+N117</f>
        <v>6140129.9900000002</v>
      </c>
      <c r="O113" s="105">
        <f t="shared" si="27"/>
        <v>6140129.9900000002</v>
      </c>
      <c r="P113" s="157">
        <f t="shared" si="17"/>
        <v>1</v>
      </c>
    </row>
    <row r="114" spans="1:16" s="101" customFormat="1" ht="63" x14ac:dyDescent="0.2">
      <c r="A114" s="96" t="s">
        <v>344</v>
      </c>
      <c r="B114" s="97" t="s">
        <v>99</v>
      </c>
      <c r="C114" s="97" t="s">
        <v>14</v>
      </c>
      <c r="D114" s="97">
        <v>17</v>
      </c>
      <c r="E114" s="97" t="s">
        <v>66</v>
      </c>
      <c r="F114" s="97" t="s">
        <v>32</v>
      </c>
      <c r="G114" s="97" t="s">
        <v>34</v>
      </c>
      <c r="H114" s="97" t="s">
        <v>36</v>
      </c>
      <c r="I114" s="97" t="s">
        <v>67</v>
      </c>
      <c r="J114" s="98"/>
      <c r="K114" s="98" t="s">
        <v>0</v>
      </c>
      <c r="L114" s="116">
        <v>2018</v>
      </c>
      <c r="M114" s="99">
        <f>2936000-18233.34-719036.67</f>
        <v>2198729.9900000002</v>
      </c>
      <c r="N114" s="99">
        <f>2936000-18233.34-719036.67</f>
        <v>2198729.9900000002</v>
      </c>
      <c r="O114" s="99">
        <f>2936000-18233.34-719036.67</f>
        <v>2198729.9900000002</v>
      </c>
      <c r="P114" s="156">
        <f t="shared" si="17"/>
        <v>1</v>
      </c>
    </row>
    <row r="115" spans="1:16" s="101" customFormat="1" ht="63" x14ac:dyDescent="0.2">
      <c r="A115" s="96" t="s">
        <v>435</v>
      </c>
      <c r="B115" s="97" t="s">
        <v>99</v>
      </c>
      <c r="C115" s="97" t="s">
        <v>14</v>
      </c>
      <c r="D115" s="97">
        <v>17</v>
      </c>
      <c r="E115" s="97" t="s">
        <v>66</v>
      </c>
      <c r="F115" s="97" t="s">
        <v>32</v>
      </c>
      <c r="G115" s="97" t="s">
        <v>34</v>
      </c>
      <c r="H115" s="97" t="s">
        <v>36</v>
      </c>
      <c r="I115" s="97" t="s">
        <v>67</v>
      </c>
      <c r="J115" s="98"/>
      <c r="K115" s="98" t="s">
        <v>0</v>
      </c>
      <c r="L115" s="116">
        <v>2018</v>
      </c>
      <c r="M115" s="99">
        <f>2370000-1070550-23810</f>
        <v>1275640</v>
      </c>
      <c r="N115" s="99">
        <f>2370000-1070550-23810</f>
        <v>1275640</v>
      </c>
      <c r="O115" s="99">
        <f>2370000-1070550-23810</f>
        <v>1275640</v>
      </c>
      <c r="P115" s="156">
        <f t="shared" si="17"/>
        <v>1</v>
      </c>
    </row>
    <row r="116" spans="1:16" s="101" customFormat="1" ht="63" x14ac:dyDescent="0.2">
      <c r="A116" s="96" t="s">
        <v>403</v>
      </c>
      <c r="B116" s="97" t="s">
        <v>99</v>
      </c>
      <c r="C116" s="97" t="s">
        <v>14</v>
      </c>
      <c r="D116" s="97">
        <v>17</v>
      </c>
      <c r="E116" s="97" t="s">
        <v>66</v>
      </c>
      <c r="F116" s="97" t="s">
        <v>32</v>
      </c>
      <c r="G116" s="97" t="s">
        <v>34</v>
      </c>
      <c r="H116" s="97" t="s">
        <v>36</v>
      </c>
      <c r="I116" s="97" t="s">
        <v>67</v>
      </c>
      <c r="J116" s="98"/>
      <c r="K116" s="98" t="s">
        <v>0</v>
      </c>
      <c r="L116" s="116">
        <v>2018</v>
      </c>
      <c r="M116" s="99">
        <f>2244000-919537.5-10100</f>
        <v>1314362.5</v>
      </c>
      <c r="N116" s="99">
        <f>2244000-919537.5-10100</f>
        <v>1314362.5</v>
      </c>
      <c r="O116" s="99">
        <f>2244000-919537.5-10100</f>
        <v>1314362.5</v>
      </c>
      <c r="P116" s="156">
        <f t="shared" si="17"/>
        <v>1</v>
      </c>
    </row>
    <row r="117" spans="1:16" s="101" customFormat="1" ht="63" x14ac:dyDescent="0.2">
      <c r="A117" s="96" t="s">
        <v>404</v>
      </c>
      <c r="B117" s="97" t="s">
        <v>99</v>
      </c>
      <c r="C117" s="97" t="s">
        <v>14</v>
      </c>
      <c r="D117" s="97">
        <v>17</v>
      </c>
      <c r="E117" s="97" t="s">
        <v>66</v>
      </c>
      <c r="F117" s="97" t="s">
        <v>32</v>
      </c>
      <c r="G117" s="97" t="s">
        <v>34</v>
      </c>
      <c r="H117" s="97" t="s">
        <v>36</v>
      </c>
      <c r="I117" s="97" t="s">
        <v>67</v>
      </c>
      <c r="J117" s="98"/>
      <c r="K117" s="98" t="s">
        <v>0</v>
      </c>
      <c r="L117" s="116">
        <v>2018</v>
      </c>
      <c r="M117" s="99">
        <f>2450000-902462.5-196140</f>
        <v>1351397.5</v>
      </c>
      <c r="N117" s="99">
        <f>2450000-902462.5-196140</f>
        <v>1351397.5</v>
      </c>
      <c r="O117" s="99">
        <f>2450000-902462.5-196140</f>
        <v>1351397.5</v>
      </c>
      <c r="P117" s="156">
        <f t="shared" si="17"/>
        <v>1</v>
      </c>
    </row>
    <row r="118" spans="1:16" s="101" customFormat="1" ht="63" x14ac:dyDescent="0.2">
      <c r="A118" s="112" t="s">
        <v>281</v>
      </c>
      <c r="B118" s="113" t="s">
        <v>99</v>
      </c>
      <c r="C118" s="113" t="s">
        <v>14</v>
      </c>
      <c r="D118" s="113">
        <v>19</v>
      </c>
      <c r="E118" s="113" t="s">
        <v>0</v>
      </c>
      <c r="F118" s="113" t="s">
        <v>0</v>
      </c>
      <c r="G118" s="113" t="s">
        <v>0</v>
      </c>
      <c r="H118" s="114" t="s">
        <v>0</v>
      </c>
      <c r="I118" s="114" t="s">
        <v>0</v>
      </c>
      <c r="J118" s="114" t="s">
        <v>0</v>
      </c>
      <c r="K118" s="114" t="s">
        <v>0</v>
      </c>
      <c r="L118" s="114" t="s">
        <v>0</v>
      </c>
      <c r="M118" s="105">
        <f t="shared" ref="M118:O124" si="28">M119</f>
        <v>193120.00000000003</v>
      </c>
      <c r="N118" s="105">
        <f t="shared" si="28"/>
        <v>193120.00000000003</v>
      </c>
      <c r="O118" s="105">
        <f t="shared" si="28"/>
        <v>193120.00000000003</v>
      </c>
      <c r="P118" s="157">
        <f t="shared" si="17"/>
        <v>1</v>
      </c>
    </row>
    <row r="119" spans="1:16" s="101" customFormat="1" ht="31.5" x14ac:dyDescent="0.2">
      <c r="A119" s="112" t="s">
        <v>288</v>
      </c>
      <c r="B119" s="113" t="s">
        <v>99</v>
      </c>
      <c r="C119" s="113" t="s">
        <v>14</v>
      </c>
      <c r="D119" s="113">
        <v>19</v>
      </c>
      <c r="E119" s="113" t="s">
        <v>66</v>
      </c>
      <c r="F119" s="113" t="s">
        <v>0</v>
      </c>
      <c r="G119" s="113" t="s">
        <v>0</v>
      </c>
      <c r="H119" s="114" t="s">
        <v>0</v>
      </c>
      <c r="I119" s="114" t="s">
        <v>0</v>
      </c>
      <c r="J119" s="114" t="s">
        <v>0</v>
      </c>
      <c r="K119" s="114" t="s">
        <v>0</v>
      </c>
      <c r="L119" s="114" t="s">
        <v>0</v>
      </c>
      <c r="M119" s="105">
        <f t="shared" si="28"/>
        <v>193120.00000000003</v>
      </c>
      <c r="N119" s="105">
        <f t="shared" si="28"/>
        <v>193120.00000000003</v>
      </c>
      <c r="O119" s="105">
        <f t="shared" si="28"/>
        <v>193120.00000000003</v>
      </c>
      <c r="P119" s="157">
        <f t="shared" si="17"/>
        <v>1</v>
      </c>
    </row>
    <row r="120" spans="1:16" s="101" customFormat="1" ht="78.75" x14ac:dyDescent="0.2">
      <c r="A120" s="112" t="s">
        <v>287</v>
      </c>
      <c r="B120" s="113" t="s">
        <v>99</v>
      </c>
      <c r="C120" s="113" t="s">
        <v>14</v>
      </c>
      <c r="D120" s="113">
        <v>19</v>
      </c>
      <c r="E120" s="113" t="s">
        <v>66</v>
      </c>
      <c r="F120" s="113" t="s">
        <v>0</v>
      </c>
      <c r="G120" s="113" t="s">
        <v>0</v>
      </c>
      <c r="H120" s="114" t="s">
        <v>0</v>
      </c>
      <c r="I120" s="114" t="s">
        <v>0</v>
      </c>
      <c r="J120" s="114" t="s">
        <v>0</v>
      </c>
      <c r="K120" s="114" t="s">
        <v>0</v>
      </c>
      <c r="L120" s="114" t="s">
        <v>0</v>
      </c>
      <c r="M120" s="105">
        <f t="shared" si="28"/>
        <v>193120.00000000003</v>
      </c>
      <c r="N120" s="105">
        <f t="shared" si="28"/>
        <v>193120.00000000003</v>
      </c>
      <c r="O120" s="105">
        <f t="shared" si="28"/>
        <v>193120.00000000003</v>
      </c>
      <c r="P120" s="157">
        <f t="shared" si="17"/>
        <v>1</v>
      </c>
    </row>
    <row r="121" spans="1:16" s="101" customFormat="1" ht="31.5" x14ac:dyDescent="0.2">
      <c r="A121" s="115" t="s">
        <v>31</v>
      </c>
      <c r="B121" s="113" t="s">
        <v>99</v>
      </c>
      <c r="C121" s="113" t="s">
        <v>14</v>
      </c>
      <c r="D121" s="113">
        <v>19</v>
      </c>
      <c r="E121" s="113" t="s">
        <v>66</v>
      </c>
      <c r="F121" s="113" t="s">
        <v>32</v>
      </c>
      <c r="G121" s="113" t="s">
        <v>0</v>
      </c>
      <c r="H121" s="113" t="s">
        <v>0</v>
      </c>
      <c r="I121" s="113" t="s">
        <v>0</v>
      </c>
      <c r="J121" s="113" t="s">
        <v>0</v>
      </c>
      <c r="K121" s="113" t="s">
        <v>0</v>
      </c>
      <c r="L121" s="113" t="s">
        <v>0</v>
      </c>
      <c r="M121" s="105">
        <f t="shared" si="28"/>
        <v>193120.00000000003</v>
      </c>
      <c r="N121" s="105">
        <f t="shared" si="28"/>
        <v>193120.00000000003</v>
      </c>
      <c r="O121" s="105">
        <f t="shared" si="28"/>
        <v>193120.00000000003</v>
      </c>
      <c r="P121" s="157">
        <f t="shared" si="17"/>
        <v>1</v>
      </c>
    </row>
    <row r="122" spans="1:16" s="101" customFormat="1" ht="15.75" x14ac:dyDescent="0.2">
      <c r="A122" s="115" t="s">
        <v>33</v>
      </c>
      <c r="B122" s="113" t="s">
        <v>99</v>
      </c>
      <c r="C122" s="113" t="s">
        <v>14</v>
      </c>
      <c r="D122" s="113">
        <v>19</v>
      </c>
      <c r="E122" s="113" t="s">
        <v>66</v>
      </c>
      <c r="F122" s="113" t="s">
        <v>32</v>
      </c>
      <c r="G122" s="113" t="s">
        <v>34</v>
      </c>
      <c r="H122" s="113" t="s">
        <v>0</v>
      </c>
      <c r="I122" s="113" t="s">
        <v>0</v>
      </c>
      <c r="J122" s="113" t="s">
        <v>0</v>
      </c>
      <c r="K122" s="113" t="s">
        <v>0</v>
      </c>
      <c r="L122" s="113" t="s">
        <v>0</v>
      </c>
      <c r="M122" s="105">
        <f t="shared" si="28"/>
        <v>193120.00000000003</v>
      </c>
      <c r="N122" s="105">
        <f t="shared" si="28"/>
        <v>193120.00000000003</v>
      </c>
      <c r="O122" s="105">
        <f t="shared" si="28"/>
        <v>193120.00000000003</v>
      </c>
      <c r="P122" s="157">
        <f t="shared" si="17"/>
        <v>1</v>
      </c>
    </row>
    <row r="123" spans="1:16" s="101" customFormat="1" ht="47.25" x14ac:dyDescent="0.2">
      <c r="A123" s="112" t="s">
        <v>35</v>
      </c>
      <c r="B123" s="113" t="s">
        <v>99</v>
      </c>
      <c r="C123" s="113" t="s">
        <v>14</v>
      </c>
      <c r="D123" s="113">
        <v>19</v>
      </c>
      <c r="E123" s="113" t="s">
        <v>66</v>
      </c>
      <c r="F123" s="113" t="s">
        <v>32</v>
      </c>
      <c r="G123" s="113" t="s">
        <v>34</v>
      </c>
      <c r="H123" s="113" t="s">
        <v>36</v>
      </c>
      <c r="I123" s="114" t="s">
        <v>0</v>
      </c>
      <c r="J123" s="114" t="s">
        <v>0</v>
      </c>
      <c r="K123" s="114" t="s">
        <v>0</v>
      </c>
      <c r="L123" s="114" t="s">
        <v>0</v>
      </c>
      <c r="M123" s="105">
        <f t="shared" si="28"/>
        <v>193120.00000000003</v>
      </c>
      <c r="N123" s="105">
        <f t="shared" si="28"/>
        <v>193120.00000000003</v>
      </c>
      <c r="O123" s="105">
        <f t="shared" si="28"/>
        <v>193120.00000000003</v>
      </c>
      <c r="P123" s="157">
        <f t="shared" si="17"/>
        <v>1</v>
      </c>
    </row>
    <row r="124" spans="1:16" s="101" customFormat="1" ht="63" x14ac:dyDescent="0.2">
      <c r="A124" s="102" t="s">
        <v>492</v>
      </c>
      <c r="B124" s="113" t="s">
        <v>99</v>
      </c>
      <c r="C124" s="113" t="s">
        <v>14</v>
      </c>
      <c r="D124" s="113">
        <v>19</v>
      </c>
      <c r="E124" s="113" t="s">
        <v>66</v>
      </c>
      <c r="F124" s="113" t="s">
        <v>32</v>
      </c>
      <c r="G124" s="113" t="s">
        <v>34</v>
      </c>
      <c r="H124" s="113" t="s">
        <v>36</v>
      </c>
      <c r="I124" s="113" t="s">
        <v>67</v>
      </c>
      <c r="J124" s="113" t="s">
        <v>0</v>
      </c>
      <c r="K124" s="113" t="s">
        <v>0</v>
      </c>
      <c r="L124" s="113" t="s">
        <v>0</v>
      </c>
      <c r="M124" s="105">
        <f t="shared" si="28"/>
        <v>193120.00000000003</v>
      </c>
      <c r="N124" s="105">
        <f t="shared" si="28"/>
        <v>193120.00000000003</v>
      </c>
      <c r="O124" s="105">
        <f t="shared" si="28"/>
        <v>193120.00000000003</v>
      </c>
      <c r="P124" s="157">
        <f t="shared" si="17"/>
        <v>1</v>
      </c>
    </row>
    <row r="125" spans="1:16" s="101" customFormat="1" ht="47.25" x14ac:dyDescent="0.2">
      <c r="A125" s="96" t="s">
        <v>293</v>
      </c>
      <c r="B125" s="97" t="s">
        <v>99</v>
      </c>
      <c r="C125" s="97" t="s">
        <v>14</v>
      </c>
      <c r="D125" s="97">
        <v>19</v>
      </c>
      <c r="E125" s="97" t="s">
        <v>66</v>
      </c>
      <c r="F125" s="97" t="s">
        <v>32</v>
      </c>
      <c r="G125" s="97" t="s">
        <v>34</v>
      </c>
      <c r="H125" s="97" t="s">
        <v>36</v>
      </c>
      <c r="I125" s="97" t="s">
        <v>67</v>
      </c>
      <c r="J125" s="98" t="s">
        <v>101</v>
      </c>
      <c r="K125" s="98">
        <v>18.100000000000001</v>
      </c>
      <c r="L125" s="116" t="s">
        <v>300</v>
      </c>
      <c r="M125" s="99">
        <f>453973.65-260853.65</f>
        <v>193120.00000000003</v>
      </c>
      <c r="N125" s="99">
        <f>453973.65-260853.65</f>
        <v>193120.00000000003</v>
      </c>
      <c r="O125" s="99">
        <f>453973.65-260853.65</f>
        <v>193120.00000000003</v>
      </c>
      <c r="P125" s="156">
        <f t="shared" si="17"/>
        <v>1</v>
      </c>
    </row>
    <row r="126" spans="1:16" s="101" customFormat="1" ht="31.5" x14ac:dyDescent="0.2">
      <c r="A126" s="112" t="s">
        <v>102</v>
      </c>
      <c r="B126" s="113" t="s">
        <v>99</v>
      </c>
      <c r="C126" s="113" t="s">
        <v>15</v>
      </c>
      <c r="D126" s="113" t="s">
        <v>0</v>
      </c>
      <c r="E126" s="113" t="s">
        <v>0</v>
      </c>
      <c r="F126" s="113" t="s">
        <v>0</v>
      </c>
      <c r="G126" s="113" t="s">
        <v>0</v>
      </c>
      <c r="H126" s="114" t="s">
        <v>0</v>
      </c>
      <c r="I126" s="114" t="s">
        <v>0</v>
      </c>
      <c r="J126" s="114" t="s">
        <v>0</v>
      </c>
      <c r="K126" s="114" t="s">
        <v>0</v>
      </c>
      <c r="L126" s="114" t="s">
        <v>0</v>
      </c>
      <c r="M126" s="105">
        <f t="shared" ref="M126:O132" si="29">M127</f>
        <v>129682313.88</v>
      </c>
      <c r="N126" s="105">
        <f t="shared" si="29"/>
        <v>128951864.11</v>
      </c>
      <c r="O126" s="105">
        <f t="shared" si="29"/>
        <v>128951864.11</v>
      </c>
      <c r="P126" s="157">
        <f t="shared" si="17"/>
        <v>0.99436739098690119</v>
      </c>
    </row>
    <row r="127" spans="1:16" s="101" customFormat="1" ht="78.75" x14ac:dyDescent="0.2">
      <c r="A127" s="112" t="s">
        <v>103</v>
      </c>
      <c r="B127" s="113" t="s">
        <v>99</v>
      </c>
      <c r="C127" s="113" t="s">
        <v>15</v>
      </c>
      <c r="D127" s="113" t="s">
        <v>81</v>
      </c>
      <c r="E127" s="113" t="s">
        <v>0</v>
      </c>
      <c r="F127" s="113" t="s">
        <v>0</v>
      </c>
      <c r="G127" s="113" t="s">
        <v>0</v>
      </c>
      <c r="H127" s="114" t="s">
        <v>0</v>
      </c>
      <c r="I127" s="114" t="s">
        <v>0</v>
      </c>
      <c r="J127" s="114" t="s">
        <v>0</v>
      </c>
      <c r="K127" s="114" t="s">
        <v>0</v>
      </c>
      <c r="L127" s="114" t="s">
        <v>0</v>
      </c>
      <c r="M127" s="105">
        <f t="shared" si="29"/>
        <v>129682313.88</v>
      </c>
      <c r="N127" s="105">
        <f t="shared" si="29"/>
        <v>128951864.11</v>
      </c>
      <c r="O127" s="105">
        <f t="shared" si="29"/>
        <v>128951864.11</v>
      </c>
      <c r="P127" s="157">
        <f t="shared" si="17"/>
        <v>0.99436739098690119</v>
      </c>
    </row>
    <row r="128" spans="1:16" s="101" customFormat="1" ht="31.5" x14ac:dyDescent="0.2">
      <c r="A128" s="112" t="s">
        <v>288</v>
      </c>
      <c r="B128" s="113" t="s">
        <v>99</v>
      </c>
      <c r="C128" s="113" t="s">
        <v>15</v>
      </c>
      <c r="D128" s="113" t="s">
        <v>81</v>
      </c>
      <c r="E128" s="113" t="s">
        <v>66</v>
      </c>
      <c r="F128" s="113" t="s">
        <v>0</v>
      </c>
      <c r="G128" s="113" t="s">
        <v>0</v>
      </c>
      <c r="H128" s="114" t="s">
        <v>0</v>
      </c>
      <c r="I128" s="114" t="s">
        <v>0</v>
      </c>
      <c r="J128" s="114" t="s">
        <v>0</v>
      </c>
      <c r="K128" s="114" t="s">
        <v>0</v>
      </c>
      <c r="L128" s="114" t="s">
        <v>0</v>
      </c>
      <c r="M128" s="105">
        <f t="shared" si="29"/>
        <v>129682313.88</v>
      </c>
      <c r="N128" s="105">
        <f t="shared" si="29"/>
        <v>128951864.11</v>
      </c>
      <c r="O128" s="105">
        <f t="shared" si="29"/>
        <v>128951864.11</v>
      </c>
      <c r="P128" s="157">
        <f t="shared" si="17"/>
        <v>0.99436739098690119</v>
      </c>
    </row>
    <row r="129" spans="1:16" s="101" customFormat="1" ht="63" x14ac:dyDescent="0.2">
      <c r="A129" s="112" t="s">
        <v>289</v>
      </c>
      <c r="B129" s="113" t="s">
        <v>99</v>
      </c>
      <c r="C129" s="113" t="s">
        <v>15</v>
      </c>
      <c r="D129" s="113" t="s">
        <v>81</v>
      </c>
      <c r="E129" s="113" t="s">
        <v>66</v>
      </c>
      <c r="F129" s="113" t="s">
        <v>0</v>
      </c>
      <c r="G129" s="113" t="s">
        <v>0</v>
      </c>
      <c r="H129" s="114" t="s">
        <v>0</v>
      </c>
      <c r="I129" s="114" t="s">
        <v>0</v>
      </c>
      <c r="J129" s="114" t="s">
        <v>0</v>
      </c>
      <c r="K129" s="114" t="s">
        <v>0</v>
      </c>
      <c r="L129" s="114" t="s">
        <v>0</v>
      </c>
      <c r="M129" s="105">
        <f t="shared" si="29"/>
        <v>129682313.88</v>
      </c>
      <c r="N129" s="105">
        <f t="shared" si="29"/>
        <v>128951864.11</v>
      </c>
      <c r="O129" s="105">
        <f t="shared" si="29"/>
        <v>128951864.11</v>
      </c>
      <c r="P129" s="157">
        <f t="shared" si="17"/>
        <v>0.99436739098690119</v>
      </c>
    </row>
    <row r="130" spans="1:16" s="101" customFormat="1" ht="15.75" x14ac:dyDescent="0.2">
      <c r="A130" s="115" t="s">
        <v>84</v>
      </c>
      <c r="B130" s="113" t="s">
        <v>99</v>
      </c>
      <c r="C130" s="113" t="s">
        <v>15</v>
      </c>
      <c r="D130" s="113" t="s">
        <v>81</v>
      </c>
      <c r="E130" s="113" t="s">
        <v>66</v>
      </c>
      <c r="F130" s="113" t="s">
        <v>85</v>
      </c>
      <c r="G130" s="113" t="s">
        <v>0</v>
      </c>
      <c r="H130" s="113" t="s">
        <v>0</v>
      </c>
      <c r="I130" s="113" t="s">
        <v>0</v>
      </c>
      <c r="J130" s="113" t="s">
        <v>0</v>
      </c>
      <c r="K130" s="113" t="s">
        <v>0</v>
      </c>
      <c r="L130" s="113" t="s">
        <v>0</v>
      </c>
      <c r="M130" s="105">
        <f t="shared" si="29"/>
        <v>129682313.88</v>
      </c>
      <c r="N130" s="105">
        <f t="shared" si="29"/>
        <v>128951864.11</v>
      </c>
      <c r="O130" s="105">
        <f t="shared" si="29"/>
        <v>128951864.11</v>
      </c>
      <c r="P130" s="157">
        <f t="shared" si="17"/>
        <v>0.99436739098690119</v>
      </c>
    </row>
    <row r="131" spans="1:16" s="101" customFormat="1" ht="31.5" x14ac:dyDescent="0.2">
      <c r="A131" s="115" t="s">
        <v>90</v>
      </c>
      <c r="B131" s="113" t="s">
        <v>99</v>
      </c>
      <c r="C131" s="113" t="s">
        <v>15</v>
      </c>
      <c r="D131" s="113" t="s">
        <v>81</v>
      </c>
      <c r="E131" s="113" t="s">
        <v>66</v>
      </c>
      <c r="F131" s="113" t="s">
        <v>85</v>
      </c>
      <c r="G131" s="113" t="s">
        <v>91</v>
      </c>
      <c r="H131" s="113" t="s">
        <v>0</v>
      </c>
      <c r="I131" s="113" t="s">
        <v>0</v>
      </c>
      <c r="J131" s="113" t="s">
        <v>0</v>
      </c>
      <c r="K131" s="113" t="s">
        <v>0</v>
      </c>
      <c r="L131" s="113" t="s">
        <v>0</v>
      </c>
      <c r="M131" s="105">
        <f t="shared" si="29"/>
        <v>129682313.88</v>
      </c>
      <c r="N131" s="105">
        <f t="shared" si="29"/>
        <v>128951864.11</v>
      </c>
      <c r="O131" s="105">
        <f t="shared" si="29"/>
        <v>128951864.11</v>
      </c>
      <c r="P131" s="157">
        <f t="shared" si="17"/>
        <v>0.99436739098690119</v>
      </c>
    </row>
    <row r="132" spans="1:16" s="101" customFormat="1" ht="63" x14ac:dyDescent="0.2">
      <c r="A132" s="112" t="s">
        <v>104</v>
      </c>
      <c r="B132" s="113" t="s">
        <v>99</v>
      </c>
      <c r="C132" s="113" t="s">
        <v>15</v>
      </c>
      <c r="D132" s="113" t="s">
        <v>81</v>
      </c>
      <c r="E132" s="113" t="s">
        <v>66</v>
      </c>
      <c r="F132" s="113" t="s">
        <v>85</v>
      </c>
      <c r="G132" s="113" t="s">
        <v>91</v>
      </c>
      <c r="H132" s="113" t="s">
        <v>105</v>
      </c>
      <c r="I132" s="114" t="s">
        <v>0</v>
      </c>
      <c r="J132" s="114" t="s">
        <v>0</v>
      </c>
      <c r="K132" s="114" t="s">
        <v>0</v>
      </c>
      <c r="L132" s="114" t="s">
        <v>0</v>
      </c>
      <c r="M132" s="105">
        <f t="shared" si="29"/>
        <v>129682313.88</v>
      </c>
      <c r="N132" s="105">
        <f t="shared" si="29"/>
        <v>128951864.11</v>
      </c>
      <c r="O132" s="105">
        <f t="shared" si="29"/>
        <v>128951864.11</v>
      </c>
      <c r="P132" s="157">
        <f t="shared" si="17"/>
        <v>0.99436739098690119</v>
      </c>
    </row>
    <row r="133" spans="1:16" s="101" customFormat="1" ht="63" x14ac:dyDescent="0.2">
      <c r="A133" s="102" t="s">
        <v>492</v>
      </c>
      <c r="B133" s="113" t="s">
        <v>99</v>
      </c>
      <c r="C133" s="113" t="s">
        <v>15</v>
      </c>
      <c r="D133" s="113" t="s">
        <v>81</v>
      </c>
      <c r="E133" s="113" t="s">
        <v>66</v>
      </c>
      <c r="F133" s="113" t="s">
        <v>85</v>
      </c>
      <c r="G133" s="113" t="s">
        <v>91</v>
      </c>
      <c r="H133" s="113" t="s">
        <v>105</v>
      </c>
      <c r="I133" s="113" t="s">
        <v>67</v>
      </c>
      <c r="J133" s="113" t="s">
        <v>0</v>
      </c>
      <c r="K133" s="113" t="s">
        <v>0</v>
      </c>
      <c r="L133" s="113" t="s">
        <v>0</v>
      </c>
      <c r="M133" s="105">
        <f>M135+M136+M134+M137+M138+M139+M140</f>
        <v>129682313.88</v>
      </c>
      <c r="N133" s="105">
        <f t="shared" ref="N133:O133" si="30">N135+N136+N134+N137+N138+N139+N140</f>
        <v>128951864.11</v>
      </c>
      <c r="O133" s="105">
        <f t="shared" si="30"/>
        <v>128951864.11</v>
      </c>
      <c r="P133" s="157">
        <f t="shared" si="17"/>
        <v>0.99436739098690119</v>
      </c>
    </row>
    <row r="134" spans="1:16" s="101" customFormat="1" ht="78.75" x14ac:dyDescent="0.2">
      <c r="A134" s="96" t="s">
        <v>329</v>
      </c>
      <c r="B134" s="97" t="s">
        <v>99</v>
      </c>
      <c r="C134" s="97" t="s">
        <v>15</v>
      </c>
      <c r="D134" s="97" t="s">
        <v>81</v>
      </c>
      <c r="E134" s="97" t="s">
        <v>66</v>
      </c>
      <c r="F134" s="97" t="s">
        <v>85</v>
      </c>
      <c r="G134" s="97" t="s">
        <v>91</v>
      </c>
      <c r="H134" s="97" t="s">
        <v>105</v>
      </c>
      <c r="I134" s="97" t="s">
        <v>67</v>
      </c>
      <c r="J134" s="98" t="s">
        <v>94</v>
      </c>
      <c r="K134" s="98">
        <v>1.8169999999999999</v>
      </c>
      <c r="L134" s="98">
        <v>2018</v>
      </c>
      <c r="M134" s="99">
        <f>63094182.59-19957687.04-98830</f>
        <v>43037665.550000004</v>
      </c>
      <c r="N134" s="99">
        <f>63094182.59-19957687.04-98830</f>
        <v>43037665.550000004</v>
      </c>
      <c r="O134" s="99">
        <f>63094182.59-19957687.04-98830</f>
        <v>43037665.550000004</v>
      </c>
      <c r="P134" s="156">
        <f t="shared" si="17"/>
        <v>1</v>
      </c>
    </row>
    <row r="135" spans="1:16" s="101" customFormat="1" ht="94.5" x14ac:dyDescent="0.2">
      <c r="A135" s="96" t="s">
        <v>106</v>
      </c>
      <c r="B135" s="97" t="s">
        <v>99</v>
      </c>
      <c r="C135" s="97" t="s">
        <v>15</v>
      </c>
      <c r="D135" s="97" t="s">
        <v>81</v>
      </c>
      <c r="E135" s="97" t="s">
        <v>66</v>
      </c>
      <c r="F135" s="97" t="s">
        <v>85</v>
      </c>
      <c r="G135" s="97" t="s">
        <v>91</v>
      </c>
      <c r="H135" s="97" t="s">
        <v>105</v>
      </c>
      <c r="I135" s="97" t="s">
        <v>67</v>
      </c>
      <c r="J135" s="98" t="s">
        <v>94</v>
      </c>
      <c r="K135" s="98" t="s">
        <v>107</v>
      </c>
      <c r="L135" s="98">
        <v>2018</v>
      </c>
      <c r="M135" s="99">
        <f>56397817-196000+188977+3173482+2687473-1800350.45</f>
        <v>60451398.549999997</v>
      </c>
      <c r="N135" s="100">
        <v>60451381.810000002</v>
      </c>
      <c r="O135" s="141">
        <v>60451381.810000002</v>
      </c>
      <c r="P135" s="156">
        <f t="shared" si="17"/>
        <v>0.99999972308332985</v>
      </c>
    </row>
    <row r="136" spans="1:16" s="101" customFormat="1" ht="47.25" x14ac:dyDescent="0.2">
      <c r="A136" s="96" t="s">
        <v>321</v>
      </c>
      <c r="B136" s="97" t="s">
        <v>99</v>
      </c>
      <c r="C136" s="97" t="s">
        <v>15</v>
      </c>
      <c r="D136" s="97" t="s">
        <v>81</v>
      </c>
      <c r="E136" s="97" t="s">
        <v>66</v>
      </c>
      <c r="F136" s="97" t="s">
        <v>85</v>
      </c>
      <c r="G136" s="97" t="s">
        <v>91</v>
      </c>
      <c r="H136" s="97" t="s">
        <v>105</v>
      </c>
      <c r="I136" s="97" t="s">
        <v>67</v>
      </c>
      <c r="J136" s="98" t="s">
        <v>94</v>
      </c>
      <c r="K136" s="98">
        <v>1.3959999999999999</v>
      </c>
      <c r="L136" s="98">
        <v>2018</v>
      </c>
      <c r="M136" s="99">
        <f>22000000+6892559.72+689661.28+11898-3954387.22-1</f>
        <v>25639730.780000001</v>
      </c>
      <c r="N136" s="100">
        <v>25314561.27</v>
      </c>
      <c r="O136" s="141">
        <v>25314561.27</v>
      </c>
      <c r="P136" s="156">
        <f t="shared" si="17"/>
        <v>0.98731774866163391</v>
      </c>
    </row>
    <row r="137" spans="1:16" s="101" customFormat="1" ht="78.75" x14ac:dyDescent="0.2">
      <c r="A137" s="96" t="s">
        <v>335</v>
      </c>
      <c r="B137" s="97" t="s">
        <v>99</v>
      </c>
      <c r="C137" s="97" t="s">
        <v>15</v>
      </c>
      <c r="D137" s="97" t="s">
        <v>81</v>
      </c>
      <c r="E137" s="97" t="s">
        <v>66</v>
      </c>
      <c r="F137" s="97" t="s">
        <v>85</v>
      </c>
      <c r="G137" s="97" t="s">
        <v>91</v>
      </c>
      <c r="H137" s="97" t="s">
        <v>105</v>
      </c>
      <c r="I137" s="97" t="s">
        <v>67</v>
      </c>
      <c r="J137" s="98" t="s">
        <v>94</v>
      </c>
      <c r="K137" s="98"/>
      <c r="L137" s="98">
        <v>2018</v>
      </c>
      <c r="M137" s="99">
        <f>196000+1421000-1421000</f>
        <v>196000</v>
      </c>
      <c r="N137" s="100">
        <v>85976</v>
      </c>
      <c r="O137" s="141">
        <v>85976</v>
      </c>
      <c r="P137" s="156">
        <f t="shared" ref="P137:P185" si="31">O137/M137</f>
        <v>0.43865306122448977</v>
      </c>
    </row>
    <row r="138" spans="1:16" s="101" customFormat="1" ht="47.25" x14ac:dyDescent="0.2">
      <c r="A138" s="96" t="s">
        <v>352</v>
      </c>
      <c r="B138" s="97" t="s">
        <v>99</v>
      </c>
      <c r="C138" s="97" t="s">
        <v>15</v>
      </c>
      <c r="D138" s="97" t="s">
        <v>81</v>
      </c>
      <c r="E138" s="97" t="s">
        <v>66</v>
      </c>
      <c r="F138" s="97" t="s">
        <v>85</v>
      </c>
      <c r="G138" s="97" t="s">
        <v>91</v>
      </c>
      <c r="H138" s="97" t="s">
        <v>105</v>
      </c>
      <c r="I138" s="97" t="s">
        <v>67</v>
      </c>
      <c r="J138" s="98" t="s">
        <v>94</v>
      </c>
      <c r="K138" s="98"/>
      <c r="L138" s="98"/>
      <c r="M138" s="99">
        <f>23068-5550+1</f>
        <v>17519</v>
      </c>
      <c r="N138" s="100">
        <v>3068</v>
      </c>
      <c r="O138" s="141">
        <v>3068</v>
      </c>
      <c r="P138" s="156">
        <f t="shared" si="31"/>
        <v>0.17512415092185626</v>
      </c>
    </row>
    <row r="139" spans="1:16" s="101" customFormat="1" ht="78.75" x14ac:dyDescent="0.2">
      <c r="A139" s="96" t="s">
        <v>452</v>
      </c>
      <c r="B139" s="97" t="s">
        <v>99</v>
      </c>
      <c r="C139" s="97" t="s">
        <v>15</v>
      </c>
      <c r="D139" s="97" t="s">
        <v>81</v>
      </c>
      <c r="E139" s="97" t="s">
        <v>66</v>
      </c>
      <c r="F139" s="97" t="s">
        <v>85</v>
      </c>
      <c r="G139" s="97" t="s">
        <v>91</v>
      </c>
      <c r="H139" s="97" t="s">
        <v>105</v>
      </c>
      <c r="I139" s="97" t="s">
        <v>67</v>
      </c>
      <c r="J139" s="98" t="s">
        <v>94</v>
      </c>
      <c r="K139" s="98">
        <v>1.68</v>
      </c>
      <c r="L139" s="98">
        <v>2019</v>
      </c>
      <c r="M139" s="99">
        <v>100000</v>
      </c>
      <c r="N139" s="100">
        <v>0</v>
      </c>
      <c r="O139" s="141">
        <v>0</v>
      </c>
      <c r="P139" s="156">
        <f t="shared" si="31"/>
        <v>0</v>
      </c>
    </row>
    <row r="140" spans="1:16" s="101" customFormat="1" ht="78.75" x14ac:dyDescent="0.2">
      <c r="A140" s="96" t="s">
        <v>451</v>
      </c>
      <c r="B140" s="97" t="s">
        <v>99</v>
      </c>
      <c r="C140" s="97" t="s">
        <v>15</v>
      </c>
      <c r="D140" s="97" t="s">
        <v>81</v>
      </c>
      <c r="E140" s="97" t="s">
        <v>66</v>
      </c>
      <c r="F140" s="97" t="s">
        <v>85</v>
      </c>
      <c r="G140" s="97" t="s">
        <v>91</v>
      </c>
      <c r="H140" s="97" t="s">
        <v>105</v>
      </c>
      <c r="I140" s="97" t="s">
        <v>67</v>
      </c>
      <c r="J140" s="98" t="s">
        <v>94</v>
      </c>
      <c r="K140" s="98">
        <v>1.36</v>
      </c>
      <c r="L140" s="98">
        <v>2019</v>
      </c>
      <c r="M140" s="99">
        <v>240000</v>
      </c>
      <c r="N140" s="100">
        <v>59211.48</v>
      </c>
      <c r="O140" s="141">
        <v>59211.48</v>
      </c>
      <c r="P140" s="156">
        <f t="shared" si="31"/>
        <v>0.2467145</v>
      </c>
    </row>
    <row r="141" spans="1:16" s="106" customFormat="1" ht="63" x14ac:dyDescent="0.2">
      <c r="A141" s="102" t="s">
        <v>303</v>
      </c>
      <c r="B141" s="103" t="s">
        <v>99</v>
      </c>
      <c r="C141" s="103" t="s">
        <v>16</v>
      </c>
      <c r="D141" s="103" t="s">
        <v>0</v>
      </c>
      <c r="E141" s="103" t="s">
        <v>0</v>
      </c>
      <c r="F141" s="103" t="s">
        <v>0</v>
      </c>
      <c r="G141" s="103" t="s">
        <v>0</v>
      </c>
      <c r="H141" s="104" t="s">
        <v>0</v>
      </c>
      <c r="I141" s="104" t="s">
        <v>0</v>
      </c>
      <c r="J141" s="104" t="s">
        <v>0</v>
      </c>
      <c r="K141" s="104" t="s">
        <v>0</v>
      </c>
      <c r="L141" s="104" t="s">
        <v>0</v>
      </c>
      <c r="M141" s="105">
        <f t="shared" ref="M141:O147" si="32">M142</f>
        <v>314720211.75999999</v>
      </c>
      <c r="N141" s="105">
        <f t="shared" si="32"/>
        <v>314217740.76999998</v>
      </c>
      <c r="O141" s="105">
        <f t="shared" si="32"/>
        <v>314217740.76999998</v>
      </c>
      <c r="P141" s="157">
        <f t="shared" si="31"/>
        <v>0.9984034359052123</v>
      </c>
    </row>
    <row r="142" spans="1:16" s="106" customFormat="1" ht="57.75" customHeight="1" x14ac:dyDescent="0.2">
      <c r="A142" s="102" t="s">
        <v>304</v>
      </c>
      <c r="B142" s="103" t="s">
        <v>99</v>
      </c>
      <c r="C142" s="103" t="s">
        <v>16</v>
      </c>
      <c r="D142" s="103" t="s">
        <v>305</v>
      </c>
      <c r="E142" s="103" t="s">
        <v>0</v>
      </c>
      <c r="F142" s="103" t="s">
        <v>0</v>
      </c>
      <c r="G142" s="103" t="s">
        <v>0</v>
      </c>
      <c r="H142" s="104" t="s">
        <v>0</v>
      </c>
      <c r="I142" s="104" t="s">
        <v>0</v>
      </c>
      <c r="J142" s="104" t="s">
        <v>0</v>
      </c>
      <c r="K142" s="104" t="s">
        <v>0</v>
      </c>
      <c r="L142" s="104" t="s">
        <v>0</v>
      </c>
      <c r="M142" s="105">
        <f t="shared" si="32"/>
        <v>314720211.75999999</v>
      </c>
      <c r="N142" s="105">
        <f t="shared" si="32"/>
        <v>314217740.76999998</v>
      </c>
      <c r="O142" s="105">
        <f t="shared" si="32"/>
        <v>314217740.76999998</v>
      </c>
      <c r="P142" s="157">
        <f t="shared" si="31"/>
        <v>0.9984034359052123</v>
      </c>
    </row>
    <row r="143" spans="1:16" s="106" customFormat="1" ht="31.5" x14ac:dyDescent="0.2">
      <c r="A143" s="102" t="s">
        <v>297</v>
      </c>
      <c r="B143" s="103" t="s">
        <v>99</v>
      </c>
      <c r="C143" s="103" t="s">
        <v>16</v>
      </c>
      <c r="D143" s="103" t="s">
        <v>305</v>
      </c>
      <c r="E143" s="103" t="s">
        <v>66</v>
      </c>
      <c r="F143" s="103" t="s">
        <v>0</v>
      </c>
      <c r="G143" s="103" t="s">
        <v>0</v>
      </c>
      <c r="H143" s="104" t="s">
        <v>0</v>
      </c>
      <c r="I143" s="104" t="s">
        <v>0</v>
      </c>
      <c r="J143" s="104" t="s">
        <v>0</v>
      </c>
      <c r="K143" s="104" t="s">
        <v>0</v>
      </c>
      <c r="L143" s="104" t="s">
        <v>0</v>
      </c>
      <c r="M143" s="105">
        <f t="shared" si="32"/>
        <v>314720211.75999999</v>
      </c>
      <c r="N143" s="105">
        <f t="shared" si="32"/>
        <v>314217740.76999998</v>
      </c>
      <c r="O143" s="105">
        <f t="shared" si="32"/>
        <v>314217740.76999998</v>
      </c>
      <c r="P143" s="157">
        <f t="shared" si="31"/>
        <v>0.9984034359052123</v>
      </c>
    </row>
    <row r="144" spans="1:16" s="106" customFormat="1" ht="57.75" customHeight="1" x14ac:dyDescent="0.2">
      <c r="A144" s="102" t="s">
        <v>287</v>
      </c>
      <c r="B144" s="103" t="s">
        <v>99</v>
      </c>
      <c r="C144" s="103" t="s">
        <v>16</v>
      </c>
      <c r="D144" s="103" t="s">
        <v>305</v>
      </c>
      <c r="E144" s="103" t="s">
        <v>66</v>
      </c>
      <c r="F144" s="103" t="s">
        <v>0</v>
      </c>
      <c r="G144" s="103" t="s">
        <v>0</v>
      </c>
      <c r="H144" s="104" t="s">
        <v>0</v>
      </c>
      <c r="I144" s="104" t="s">
        <v>0</v>
      </c>
      <c r="J144" s="104" t="s">
        <v>0</v>
      </c>
      <c r="K144" s="104" t="s">
        <v>0</v>
      </c>
      <c r="L144" s="104" t="s">
        <v>0</v>
      </c>
      <c r="M144" s="105">
        <f t="shared" si="32"/>
        <v>314720211.75999999</v>
      </c>
      <c r="N144" s="105">
        <f t="shared" si="32"/>
        <v>314217740.76999998</v>
      </c>
      <c r="O144" s="105">
        <f t="shared" si="32"/>
        <v>314217740.76999998</v>
      </c>
      <c r="P144" s="157">
        <f t="shared" si="31"/>
        <v>0.9984034359052123</v>
      </c>
    </row>
    <row r="145" spans="1:16" s="106" customFormat="1" ht="15.75" x14ac:dyDescent="0.2">
      <c r="A145" s="107" t="s">
        <v>73</v>
      </c>
      <c r="B145" s="103" t="s">
        <v>99</v>
      </c>
      <c r="C145" s="103" t="s">
        <v>16</v>
      </c>
      <c r="D145" s="103" t="s">
        <v>305</v>
      </c>
      <c r="E145" s="103" t="s">
        <v>66</v>
      </c>
      <c r="F145" s="103" t="s">
        <v>74</v>
      </c>
      <c r="G145" s="103" t="s">
        <v>0</v>
      </c>
      <c r="H145" s="103" t="s">
        <v>0</v>
      </c>
      <c r="I145" s="103" t="s">
        <v>0</v>
      </c>
      <c r="J145" s="103" t="s">
        <v>0</v>
      </c>
      <c r="K145" s="103" t="s">
        <v>0</v>
      </c>
      <c r="L145" s="103" t="s">
        <v>0</v>
      </c>
      <c r="M145" s="105">
        <f t="shared" si="32"/>
        <v>314720211.75999999</v>
      </c>
      <c r="N145" s="105">
        <f t="shared" si="32"/>
        <v>314217740.76999998</v>
      </c>
      <c r="O145" s="105">
        <f t="shared" si="32"/>
        <v>314217740.76999998</v>
      </c>
      <c r="P145" s="157">
        <f t="shared" si="31"/>
        <v>0.9984034359052123</v>
      </c>
    </row>
    <row r="146" spans="1:16" s="106" customFormat="1" ht="15.75" x14ac:dyDescent="0.2">
      <c r="A146" s="107" t="s">
        <v>75</v>
      </c>
      <c r="B146" s="103" t="s">
        <v>99</v>
      </c>
      <c r="C146" s="103" t="s">
        <v>16</v>
      </c>
      <c r="D146" s="103" t="s">
        <v>305</v>
      </c>
      <c r="E146" s="103" t="s">
        <v>66</v>
      </c>
      <c r="F146" s="103" t="s">
        <v>74</v>
      </c>
      <c r="G146" s="103" t="s">
        <v>61</v>
      </c>
      <c r="H146" s="103" t="s">
        <v>0</v>
      </c>
      <c r="I146" s="103" t="s">
        <v>0</v>
      </c>
      <c r="J146" s="103" t="s">
        <v>0</v>
      </c>
      <c r="K146" s="103" t="s">
        <v>0</v>
      </c>
      <c r="L146" s="103" t="s">
        <v>0</v>
      </c>
      <c r="M146" s="105">
        <f t="shared" si="32"/>
        <v>314720211.75999999</v>
      </c>
      <c r="N146" s="105">
        <f t="shared" si="32"/>
        <v>314217740.76999998</v>
      </c>
      <c r="O146" s="105">
        <f t="shared" si="32"/>
        <v>314217740.76999998</v>
      </c>
      <c r="P146" s="157">
        <f t="shared" si="31"/>
        <v>0.9984034359052123</v>
      </c>
    </row>
    <row r="147" spans="1:16" s="106" customFormat="1" ht="63" x14ac:dyDescent="0.2">
      <c r="A147" s="102" t="s">
        <v>306</v>
      </c>
      <c r="B147" s="103" t="s">
        <v>99</v>
      </c>
      <c r="C147" s="103" t="s">
        <v>16</v>
      </c>
      <c r="D147" s="103" t="s">
        <v>305</v>
      </c>
      <c r="E147" s="103" t="s">
        <v>66</v>
      </c>
      <c r="F147" s="103" t="s">
        <v>74</v>
      </c>
      <c r="G147" s="103" t="s">
        <v>61</v>
      </c>
      <c r="H147" s="103" t="s">
        <v>307</v>
      </c>
      <c r="I147" s="104" t="s">
        <v>0</v>
      </c>
      <c r="J147" s="104" t="s">
        <v>0</v>
      </c>
      <c r="K147" s="104" t="s">
        <v>0</v>
      </c>
      <c r="L147" s="104" t="s">
        <v>0</v>
      </c>
      <c r="M147" s="105">
        <f t="shared" si="32"/>
        <v>314720211.75999999</v>
      </c>
      <c r="N147" s="105">
        <f t="shared" si="32"/>
        <v>314217740.76999998</v>
      </c>
      <c r="O147" s="105">
        <f t="shared" si="32"/>
        <v>314217740.76999998</v>
      </c>
      <c r="P147" s="157">
        <f t="shared" si="31"/>
        <v>0.9984034359052123</v>
      </c>
    </row>
    <row r="148" spans="1:16" s="106" customFormat="1" ht="63" x14ac:dyDescent="0.2">
      <c r="A148" s="102" t="s">
        <v>492</v>
      </c>
      <c r="B148" s="103" t="s">
        <v>99</v>
      </c>
      <c r="C148" s="103" t="s">
        <v>16</v>
      </c>
      <c r="D148" s="103" t="s">
        <v>305</v>
      </c>
      <c r="E148" s="103" t="s">
        <v>66</v>
      </c>
      <c r="F148" s="103" t="s">
        <v>74</v>
      </c>
      <c r="G148" s="103" t="s">
        <v>61</v>
      </c>
      <c r="H148" s="103" t="s">
        <v>307</v>
      </c>
      <c r="I148" s="103" t="s">
        <v>67</v>
      </c>
      <c r="J148" s="103" t="s">
        <v>0</v>
      </c>
      <c r="K148" s="103" t="s">
        <v>0</v>
      </c>
      <c r="L148" s="103" t="s">
        <v>0</v>
      </c>
      <c r="M148" s="105">
        <f>M149+M150</f>
        <v>314720211.75999999</v>
      </c>
      <c r="N148" s="105">
        <f t="shared" ref="N148:O148" si="33">N149+N150</f>
        <v>314217740.76999998</v>
      </c>
      <c r="O148" s="105">
        <f t="shared" si="33"/>
        <v>314217740.76999998</v>
      </c>
      <c r="P148" s="157">
        <f t="shared" si="31"/>
        <v>0.9984034359052123</v>
      </c>
    </row>
    <row r="149" spans="1:16" s="106" customFormat="1" ht="47.25" x14ac:dyDescent="0.2">
      <c r="A149" s="117" t="s">
        <v>319</v>
      </c>
      <c r="B149" s="109" t="s">
        <v>99</v>
      </c>
      <c r="C149" s="109" t="s">
        <v>16</v>
      </c>
      <c r="D149" s="109" t="s">
        <v>305</v>
      </c>
      <c r="E149" s="109" t="s">
        <v>66</v>
      </c>
      <c r="F149" s="109" t="s">
        <v>74</v>
      </c>
      <c r="G149" s="109" t="s">
        <v>61</v>
      </c>
      <c r="H149" s="109" t="s">
        <v>307</v>
      </c>
      <c r="I149" s="109" t="s">
        <v>67</v>
      </c>
      <c r="J149" s="110" t="s">
        <v>76</v>
      </c>
      <c r="K149" s="110" t="s">
        <v>77</v>
      </c>
      <c r="L149" s="110" t="s">
        <v>301</v>
      </c>
      <c r="M149" s="99">
        <f>180185069.21-9003055.77+208718</f>
        <v>171390731.44</v>
      </c>
      <c r="N149" s="100">
        <v>171029504.68000001</v>
      </c>
      <c r="O149" s="141">
        <v>171029504.68000001</v>
      </c>
      <c r="P149" s="156">
        <f t="shared" si="31"/>
        <v>0.99789237867786074</v>
      </c>
    </row>
    <row r="150" spans="1:16" s="106" customFormat="1" ht="63" x14ac:dyDescent="0.2">
      <c r="A150" s="118" t="s">
        <v>320</v>
      </c>
      <c r="B150" s="119" t="s">
        <v>99</v>
      </c>
      <c r="C150" s="109" t="s">
        <v>16</v>
      </c>
      <c r="D150" s="109" t="s">
        <v>305</v>
      </c>
      <c r="E150" s="109" t="s">
        <v>66</v>
      </c>
      <c r="F150" s="109" t="s">
        <v>74</v>
      </c>
      <c r="G150" s="109" t="s">
        <v>61</v>
      </c>
      <c r="H150" s="109" t="s">
        <v>307</v>
      </c>
      <c r="I150" s="109" t="s">
        <v>67</v>
      </c>
      <c r="J150" s="110" t="s">
        <v>76</v>
      </c>
      <c r="K150" s="110" t="s">
        <v>77</v>
      </c>
      <c r="L150" s="110" t="s">
        <v>301</v>
      </c>
      <c r="M150" s="99">
        <f>189931560-46866564.68+264485</f>
        <v>143329480.31999999</v>
      </c>
      <c r="N150" s="100">
        <v>143188236.09</v>
      </c>
      <c r="O150" s="141">
        <v>143188236.09</v>
      </c>
      <c r="P150" s="156">
        <f t="shared" si="31"/>
        <v>0.99901454864913597</v>
      </c>
    </row>
    <row r="151" spans="1:16" s="101" customFormat="1" ht="47.25" x14ac:dyDescent="0.2">
      <c r="A151" s="120" t="s">
        <v>108</v>
      </c>
      <c r="B151" s="121" t="s">
        <v>81</v>
      </c>
      <c r="C151" s="113" t="s">
        <v>0</v>
      </c>
      <c r="D151" s="113" t="s">
        <v>0</v>
      </c>
      <c r="E151" s="113" t="s">
        <v>0</v>
      </c>
      <c r="F151" s="113" t="s">
        <v>0</v>
      </c>
      <c r="G151" s="113" t="s">
        <v>0</v>
      </c>
      <c r="H151" s="114" t="s">
        <v>0</v>
      </c>
      <c r="I151" s="114" t="s">
        <v>0</v>
      </c>
      <c r="J151" s="114" t="s">
        <v>0</v>
      </c>
      <c r="K151" s="114" t="s">
        <v>0</v>
      </c>
      <c r="L151" s="114" t="s">
        <v>0</v>
      </c>
      <c r="M151" s="105">
        <f t="shared" ref="M151:O157" si="34">M152</f>
        <v>18991902.52</v>
      </c>
      <c r="N151" s="105">
        <f t="shared" si="34"/>
        <v>18012382.449999999</v>
      </c>
      <c r="O151" s="105">
        <f t="shared" si="34"/>
        <v>18012382.449999999</v>
      </c>
      <c r="P151" s="157">
        <f t="shared" si="31"/>
        <v>0.94842433142395888</v>
      </c>
    </row>
    <row r="152" spans="1:16" s="101" customFormat="1" ht="63" x14ac:dyDescent="0.2">
      <c r="A152" s="122" t="s">
        <v>109</v>
      </c>
      <c r="B152" s="113" t="s">
        <v>81</v>
      </c>
      <c r="C152" s="113" t="s">
        <v>28</v>
      </c>
      <c r="D152" s="113" t="s">
        <v>81</v>
      </c>
      <c r="E152" s="113" t="s">
        <v>0</v>
      </c>
      <c r="F152" s="113" t="s">
        <v>0</v>
      </c>
      <c r="G152" s="113" t="s">
        <v>0</v>
      </c>
      <c r="H152" s="114" t="s">
        <v>0</v>
      </c>
      <c r="I152" s="114" t="s">
        <v>0</v>
      </c>
      <c r="J152" s="114" t="s">
        <v>0</v>
      </c>
      <c r="K152" s="114" t="s">
        <v>0</v>
      </c>
      <c r="L152" s="114" t="s">
        <v>0</v>
      </c>
      <c r="M152" s="105">
        <f t="shared" si="34"/>
        <v>18991902.52</v>
      </c>
      <c r="N152" s="105">
        <f t="shared" si="34"/>
        <v>18012382.449999999</v>
      </c>
      <c r="O152" s="105">
        <f t="shared" si="34"/>
        <v>18012382.449999999</v>
      </c>
      <c r="P152" s="157">
        <f t="shared" si="31"/>
        <v>0.94842433142395888</v>
      </c>
    </row>
    <row r="153" spans="1:16" s="101" customFormat="1" ht="31.5" x14ac:dyDescent="0.2">
      <c r="A153" s="112" t="s">
        <v>288</v>
      </c>
      <c r="B153" s="113" t="s">
        <v>81</v>
      </c>
      <c r="C153" s="113" t="s">
        <v>28</v>
      </c>
      <c r="D153" s="113" t="s">
        <v>81</v>
      </c>
      <c r="E153" s="113" t="s">
        <v>66</v>
      </c>
      <c r="F153" s="113" t="s">
        <v>0</v>
      </c>
      <c r="G153" s="113" t="s">
        <v>0</v>
      </c>
      <c r="H153" s="114" t="s">
        <v>0</v>
      </c>
      <c r="I153" s="114" t="s">
        <v>0</v>
      </c>
      <c r="J153" s="114" t="s">
        <v>0</v>
      </c>
      <c r="K153" s="114" t="s">
        <v>0</v>
      </c>
      <c r="L153" s="114" t="s">
        <v>0</v>
      </c>
      <c r="M153" s="105">
        <f t="shared" si="34"/>
        <v>18991902.52</v>
      </c>
      <c r="N153" s="105">
        <f t="shared" si="34"/>
        <v>18012382.449999999</v>
      </c>
      <c r="O153" s="105">
        <f t="shared" si="34"/>
        <v>18012382.449999999</v>
      </c>
      <c r="P153" s="157">
        <f t="shared" si="31"/>
        <v>0.94842433142395888</v>
      </c>
    </row>
    <row r="154" spans="1:16" s="101" customFormat="1" ht="78.75" x14ac:dyDescent="0.2">
      <c r="A154" s="112" t="s">
        <v>287</v>
      </c>
      <c r="B154" s="113" t="s">
        <v>81</v>
      </c>
      <c r="C154" s="113" t="s">
        <v>28</v>
      </c>
      <c r="D154" s="113" t="s">
        <v>81</v>
      </c>
      <c r="E154" s="113" t="s">
        <v>66</v>
      </c>
      <c r="F154" s="113" t="s">
        <v>0</v>
      </c>
      <c r="G154" s="113" t="s">
        <v>0</v>
      </c>
      <c r="H154" s="114" t="s">
        <v>0</v>
      </c>
      <c r="I154" s="114" t="s">
        <v>0</v>
      </c>
      <c r="J154" s="114" t="s">
        <v>0</v>
      </c>
      <c r="K154" s="114" t="s">
        <v>0</v>
      </c>
      <c r="L154" s="114" t="s">
        <v>0</v>
      </c>
      <c r="M154" s="105">
        <f t="shared" si="34"/>
        <v>18991902.52</v>
      </c>
      <c r="N154" s="105">
        <f t="shared" si="34"/>
        <v>18012382.449999999</v>
      </c>
      <c r="O154" s="105">
        <f t="shared" si="34"/>
        <v>18012382.449999999</v>
      </c>
      <c r="P154" s="157">
        <f t="shared" si="31"/>
        <v>0.94842433142395888</v>
      </c>
    </row>
    <row r="155" spans="1:16" s="101" customFormat="1" ht="15.75" x14ac:dyDescent="0.2">
      <c r="A155" s="115" t="s">
        <v>110</v>
      </c>
      <c r="B155" s="113" t="s">
        <v>81</v>
      </c>
      <c r="C155" s="113" t="s">
        <v>28</v>
      </c>
      <c r="D155" s="113" t="s">
        <v>81</v>
      </c>
      <c r="E155" s="113" t="s">
        <v>66</v>
      </c>
      <c r="F155" s="113" t="s">
        <v>22</v>
      </c>
      <c r="G155" s="113" t="s">
        <v>0</v>
      </c>
      <c r="H155" s="113" t="s">
        <v>0</v>
      </c>
      <c r="I155" s="113" t="s">
        <v>0</v>
      </c>
      <c r="J155" s="113" t="s">
        <v>0</v>
      </c>
      <c r="K155" s="113" t="s">
        <v>0</v>
      </c>
      <c r="L155" s="113" t="s">
        <v>0</v>
      </c>
      <c r="M155" s="105">
        <f t="shared" si="34"/>
        <v>18991902.52</v>
      </c>
      <c r="N155" s="105">
        <f t="shared" si="34"/>
        <v>18012382.449999999</v>
      </c>
      <c r="O155" s="105">
        <f t="shared" si="34"/>
        <v>18012382.449999999</v>
      </c>
      <c r="P155" s="157">
        <f t="shared" si="31"/>
        <v>0.94842433142395888</v>
      </c>
    </row>
    <row r="156" spans="1:16" s="101" customFormat="1" ht="31.5" x14ac:dyDescent="0.2">
      <c r="A156" s="115" t="s">
        <v>111</v>
      </c>
      <c r="B156" s="113" t="s">
        <v>81</v>
      </c>
      <c r="C156" s="113" t="s">
        <v>28</v>
      </c>
      <c r="D156" s="113" t="s">
        <v>81</v>
      </c>
      <c r="E156" s="113" t="s">
        <v>66</v>
      </c>
      <c r="F156" s="113" t="s">
        <v>22</v>
      </c>
      <c r="G156" s="113" t="s">
        <v>34</v>
      </c>
      <c r="H156" s="113" t="s">
        <v>0</v>
      </c>
      <c r="I156" s="113" t="s">
        <v>0</v>
      </c>
      <c r="J156" s="113" t="s">
        <v>0</v>
      </c>
      <c r="K156" s="113" t="s">
        <v>0</v>
      </c>
      <c r="L156" s="113" t="s">
        <v>0</v>
      </c>
      <c r="M156" s="105">
        <f t="shared" si="34"/>
        <v>18991902.52</v>
      </c>
      <c r="N156" s="105">
        <f t="shared" si="34"/>
        <v>18012382.449999999</v>
      </c>
      <c r="O156" s="105">
        <f t="shared" si="34"/>
        <v>18012382.449999999</v>
      </c>
      <c r="P156" s="157">
        <f t="shared" si="31"/>
        <v>0.94842433142395888</v>
      </c>
    </row>
    <row r="157" spans="1:16" s="101" customFormat="1" ht="47.25" x14ac:dyDescent="0.2">
      <c r="A157" s="112" t="s">
        <v>35</v>
      </c>
      <c r="B157" s="113" t="s">
        <v>81</v>
      </c>
      <c r="C157" s="113" t="s">
        <v>28</v>
      </c>
      <c r="D157" s="113" t="s">
        <v>81</v>
      </c>
      <c r="E157" s="113" t="s">
        <v>66</v>
      </c>
      <c r="F157" s="113" t="s">
        <v>22</v>
      </c>
      <c r="G157" s="113" t="s">
        <v>34</v>
      </c>
      <c r="H157" s="113" t="s">
        <v>36</v>
      </c>
      <c r="I157" s="114" t="s">
        <v>0</v>
      </c>
      <c r="J157" s="114" t="s">
        <v>0</v>
      </c>
      <c r="K157" s="114" t="s">
        <v>0</v>
      </c>
      <c r="L157" s="114" t="s">
        <v>0</v>
      </c>
      <c r="M157" s="105">
        <f t="shared" si="34"/>
        <v>18991902.52</v>
      </c>
      <c r="N157" s="105">
        <f t="shared" si="34"/>
        <v>18012382.449999999</v>
      </c>
      <c r="O157" s="105">
        <f t="shared" si="34"/>
        <v>18012382.449999999</v>
      </c>
      <c r="P157" s="157">
        <f t="shared" si="31"/>
        <v>0.94842433142395888</v>
      </c>
    </row>
    <row r="158" spans="1:16" s="101" customFormat="1" ht="63" x14ac:dyDescent="0.2">
      <c r="A158" s="102" t="s">
        <v>492</v>
      </c>
      <c r="B158" s="113" t="s">
        <v>81</v>
      </c>
      <c r="C158" s="113" t="s">
        <v>28</v>
      </c>
      <c r="D158" s="113" t="s">
        <v>81</v>
      </c>
      <c r="E158" s="113" t="s">
        <v>66</v>
      </c>
      <c r="F158" s="113" t="s">
        <v>22</v>
      </c>
      <c r="G158" s="113" t="s">
        <v>34</v>
      </c>
      <c r="H158" s="113" t="s">
        <v>36</v>
      </c>
      <c r="I158" s="113" t="s">
        <v>67</v>
      </c>
      <c r="J158" s="113" t="s">
        <v>0</v>
      </c>
      <c r="K158" s="113" t="s">
        <v>0</v>
      </c>
      <c r="L158" s="113" t="s">
        <v>0</v>
      </c>
      <c r="M158" s="105">
        <f>M159+M161+M162+M160</f>
        <v>18991902.52</v>
      </c>
      <c r="N158" s="105">
        <f t="shared" ref="N158:O158" si="35">N159+N161+N162+N160</f>
        <v>18012382.449999999</v>
      </c>
      <c r="O158" s="105">
        <f t="shared" si="35"/>
        <v>18012382.449999999</v>
      </c>
      <c r="P158" s="157">
        <f t="shared" si="31"/>
        <v>0.94842433142395888</v>
      </c>
    </row>
    <row r="159" spans="1:16" s="101" customFormat="1" ht="110.25" x14ac:dyDescent="0.2">
      <c r="A159" s="96" t="s">
        <v>112</v>
      </c>
      <c r="B159" s="97" t="s">
        <v>81</v>
      </c>
      <c r="C159" s="97" t="s">
        <v>28</v>
      </c>
      <c r="D159" s="97" t="s">
        <v>81</v>
      </c>
      <c r="E159" s="97" t="s">
        <v>66</v>
      </c>
      <c r="F159" s="97" t="s">
        <v>22</v>
      </c>
      <c r="G159" s="97" t="s">
        <v>34</v>
      </c>
      <c r="H159" s="97" t="s">
        <v>36</v>
      </c>
      <c r="I159" s="97" t="s">
        <v>67</v>
      </c>
      <c r="J159" s="98" t="s">
        <v>113</v>
      </c>
      <c r="K159" s="98" t="s">
        <v>114</v>
      </c>
      <c r="L159" s="98">
        <v>2018</v>
      </c>
      <c r="M159" s="99">
        <f>9631836.71+2143923.77+5856076.23-5000000</f>
        <v>12631836.710000001</v>
      </c>
      <c r="N159" s="100">
        <v>11652316.640000001</v>
      </c>
      <c r="O159" s="141">
        <v>11652316.640000001</v>
      </c>
      <c r="P159" s="156">
        <f t="shared" si="31"/>
        <v>0.92245624349905009</v>
      </c>
    </row>
    <row r="160" spans="1:16" s="101" customFormat="1" ht="47.25" x14ac:dyDescent="0.2">
      <c r="A160" s="96" t="s">
        <v>455</v>
      </c>
      <c r="B160" s="97" t="s">
        <v>81</v>
      </c>
      <c r="C160" s="97" t="s">
        <v>28</v>
      </c>
      <c r="D160" s="97" t="s">
        <v>81</v>
      </c>
      <c r="E160" s="97" t="s">
        <v>66</v>
      </c>
      <c r="F160" s="97" t="s">
        <v>22</v>
      </c>
      <c r="G160" s="97" t="s">
        <v>34</v>
      </c>
      <c r="H160" s="97" t="s">
        <v>36</v>
      </c>
      <c r="I160" s="97" t="s">
        <v>67</v>
      </c>
      <c r="J160" s="98" t="s">
        <v>76</v>
      </c>
      <c r="K160" s="98">
        <v>25</v>
      </c>
      <c r="L160" s="116" t="s">
        <v>300</v>
      </c>
      <c r="M160" s="99">
        <v>145030</v>
      </c>
      <c r="N160" s="99">
        <v>145030</v>
      </c>
      <c r="O160" s="99">
        <v>145030</v>
      </c>
      <c r="P160" s="156">
        <f t="shared" si="31"/>
        <v>1</v>
      </c>
    </row>
    <row r="161" spans="1:16" s="101" customFormat="1" ht="78.75" x14ac:dyDescent="0.2">
      <c r="A161" s="96" t="s">
        <v>330</v>
      </c>
      <c r="B161" s="97" t="s">
        <v>81</v>
      </c>
      <c r="C161" s="97" t="s">
        <v>28</v>
      </c>
      <c r="D161" s="97" t="s">
        <v>81</v>
      </c>
      <c r="E161" s="97" t="s">
        <v>66</v>
      </c>
      <c r="F161" s="97" t="s">
        <v>22</v>
      </c>
      <c r="G161" s="97" t="s">
        <v>34</v>
      </c>
      <c r="H161" s="97" t="s">
        <v>36</v>
      </c>
      <c r="I161" s="97" t="s">
        <v>67</v>
      </c>
      <c r="J161" s="98" t="s">
        <v>76</v>
      </c>
      <c r="K161" s="98">
        <v>40</v>
      </c>
      <c r="L161" s="98">
        <v>2019</v>
      </c>
      <c r="M161" s="99">
        <f>6063600-3340202.4-2705202</f>
        <v>18195.600000000093</v>
      </c>
      <c r="N161" s="99">
        <f>6063600-3340202.4-2705202</f>
        <v>18195.600000000093</v>
      </c>
      <c r="O161" s="99">
        <f>6063600-3340202.4-2705202</f>
        <v>18195.600000000093</v>
      </c>
      <c r="P161" s="156">
        <f t="shared" si="31"/>
        <v>1</v>
      </c>
    </row>
    <row r="162" spans="1:16" s="101" customFormat="1" ht="63" x14ac:dyDescent="0.2">
      <c r="A162" s="96" t="s">
        <v>331</v>
      </c>
      <c r="B162" s="97" t="s">
        <v>81</v>
      </c>
      <c r="C162" s="97" t="s">
        <v>28</v>
      </c>
      <c r="D162" s="97" t="s">
        <v>81</v>
      </c>
      <c r="E162" s="97" t="s">
        <v>66</v>
      </c>
      <c r="F162" s="97" t="s">
        <v>22</v>
      </c>
      <c r="G162" s="97" t="s">
        <v>34</v>
      </c>
      <c r="H162" s="97" t="s">
        <v>36</v>
      </c>
      <c r="I162" s="97" t="s">
        <v>67</v>
      </c>
      <c r="J162" s="98" t="s">
        <v>76</v>
      </c>
      <c r="K162" s="98" t="s">
        <v>115</v>
      </c>
      <c r="L162" s="116">
        <v>2018</v>
      </c>
      <c r="M162" s="99">
        <f>6583402.59-145030-241532.38</f>
        <v>6196840.21</v>
      </c>
      <c r="N162" s="99">
        <f>6583402.59-145030-241532.38</f>
        <v>6196840.21</v>
      </c>
      <c r="O162" s="99">
        <f>6583402.59-145030-241532.38</f>
        <v>6196840.21</v>
      </c>
      <c r="P162" s="156">
        <f t="shared" si="31"/>
        <v>1</v>
      </c>
    </row>
    <row r="163" spans="1:16" s="106" customFormat="1" ht="47.25" x14ac:dyDescent="0.2">
      <c r="A163" s="102" t="s">
        <v>116</v>
      </c>
      <c r="B163" s="103" t="s">
        <v>117</v>
      </c>
      <c r="C163" s="103" t="s">
        <v>0</v>
      </c>
      <c r="D163" s="103" t="s">
        <v>0</v>
      </c>
      <c r="E163" s="103" t="s">
        <v>0</v>
      </c>
      <c r="F163" s="103" t="s">
        <v>0</v>
      </c>
      <c r="G163" s="103" t="s">
        <v>0</v>
      </c>
      <c r="H163" s="104" t="s">
        <v>0</v>
      </c>
      <c r="I163" s="104" t="s">
        <v>0</v>
      </c>
      <c r="J163" s="104" t="s">
        <v>0</v>
      </c>
      <c r="K163" s="104" t="s">
        <v>0</v>
      </c>
      <c r="L163" s="104" t="s">
        <v>0</v>
      </c>
      <c r="M163" s="105">
        <f>M164</f>
        <v>235800226.62</v>
      </c>
      <c r="N163" s="105">
        <f t="shared" ref="N163:O166" si="36">N164</f>
        <v>235788122.31999999</v>
      </c>
      <c r="O163" s="105">
        <f t="shared" si="36"/>
        <v>235788122.31999999</v>
      </c>
      <c r="P163" s="157">
        <f t="shared" si="31"/>
        <v>0.99994866714008923</v>
      </c>
    </row>
    <row r="164" spans="1:16" s="106" customFormat="1" ht="31.5" x14ac:dyDescent="0.2">
      <c r="A164" s="102" t="s">
        <v>118</v>
      </c>
      <c r="B164" s="103" t="s">
        <v>117</v>
      </c>
      <c r="C164" s="103" t="s">
        <v>28</v>
      </c>
      <c r="D164" s="103" t="s">
        <v>72</v>
      </c>
      <c r="E164" s="103" t="s">
        <v>0</v>
      </c>
      <c r="F164" s="103" t="s">
        <v>0</v>
      </c>
      <c r="G164" s="103" t="s">
        <v>0</v>
      </c>
      <c r="H164" s="104" t="s">
        <v>0</v>
      </c>
      <c r="I164" s="104" t="s">
        <v>0</v>
      </c>
      <c r="J164" s="104" t="s">
        <v>0</v>
      </c>
      <c r="K164" s="104" t="s">
        <v>0</v>
      </c>
      <c r="L164" s="104" t="s">
        <v>0</v>
      </c>
      <c r="M164" s="105">
        <f>M165</f>
        <v>235800226.62</v>
      </c>
      <c r="N164" s="105">
        <f t="shared" si="36"/>
        <v>235788122.31999999</v>
      </c>
      <c r="O164" s="105">
        <f t="shared" si="36"/>
        <v>235788122.31999999</v>
      </c>
      <c r="P164" s="157">
        <f t="shared" si="31"/>
        <v>0.99994866714008923</v>
      </c>
    </row>
    <row r="165" spans="1:16" s="106" customFormat="1" ht="31.5" x14ac:dyDescent="0.2">
      <c r="A165" s="102" t="s">
        <v>297</v>
      </c>
      <c r="B165" s="103" t="s">
        <v>117</v>
      </c>
      <c r="C165" s="103" t="s">
        <v>28</v>
      </c>
      <c r="D165" s="103" t="s">
        <v>72</v>
      </c>
      <c r="E165" s="103" t="s">
        <v>66</v>
      </c>
      <c r="F165" s="103" t="s">
        <v>0</v>
      </c>
      <c r="G165" s="103" t="s">
        <v>0</v>
      </c>
      <c r="H165" s="104" t="s">
        <v>0</v>
      </c>
      <c r="I165" s="104" t="s">
        <v>0</v>
      </c>
      <c r="J165" s="104" t="s">
        <v>0</v>
      </c>
      <c r="K165" s="104" t="s">
        <v>0</v>
      </c>
      <c r="L165" s="104" t="s">
        <v>0</v>
      </c>
      <c r="M165" s="105">
        <f>M166</f>
        <v>235800226.62</v>
      </c>
      <c r="N165" s="105">
        <f t="shared" si="36"/>
        <v>235788122.31999999</v>
      </c>
      <c r="O165" s="105">
        <f t="shared" si="36"/>
        <v>235788122.31999999</v>
      </c>
      <c r="P165" s="157">
        <f t="shared" si="31"/>
        <v>0.99994866714008923</v>
      </c>
    </row>
    <row r="166" spans="1:16" s="106" customFormat="1" ht="78.75" x14ac:dyDescent="0.2">
      <c r="A166" s="102" t="s">
        <v>287</v>
      </c>
      <c r="B166" s="103" t="s">
        <v>117</v>
      </c>
      <c r="C166" s="103" t="s">
        <v>28</v>
      </c>
      <c r="D166" s="103" t="s">
        <v>72</v>
      </c>
      <c r="E166" s="103" t="s">
        <v>66</v>
      </c>
      <c r="F166" s="103" t="s">
        <v>0</v>
      </c>
      <c r="G166" s="103" t="s">
        <v>0</v>
      </c>
      <c r="H166" s="104" t="s">
        <v>0</v>
      </c>
      <c r="I166" s="104" t="s">
        <v>0</v>
      </c>
      <c r="J166" s="104" t="s">
        <v>0</v>
      </c>
      <c r="K166" s="104" t="s">
        <v>0</v>
      </c>
      <c r="L166" s="104" t="s">
        <v>0</v>
      </c>
      <c r="M166" s="105">
        <f>M167</f>
        <v>235800226.62</v>
      </c>
      <c r="N166" s="105">
        <f t="shared" si="36"/>
        <v>235788122.31999999</v>
      </c>
      <c r="O166" s="105">
        <f t="shared" si="36"/>
        <v>235788122.31999999</v>
      </c>
      <c r="P166" s="157">
        <f t="shared" si="31"/>
        <v>0.99994866714008923</v>
      </c>
    </row>
    <row r="167" spans="1:16" s="106" customFormat="1" ht="15.75" x14ac:dyDescent="0.2">
      <c r="A167" s="107" t="s">
        <v>119</v>
      </c>
      <c r="B167" s="103" t="s">
        <v>117</v>
      </c>
      <c r="C167" s="103" t="s">
        <v>28</v>
      </c>
      <c r="D167" s="103" t="s">
        <v>72</v>
      </c>
      <c r="E167" s="103" t="s">
        <v>66</v>
      </c>
      <c r="F167" s="103" t="s">
        <v>23</v>
      </c>
      <c r="G167" s="103" t="s">
        <v>0</v>
      </c>
      <c r="H167" s="103" t="s">
        <v>0</v>
      </c>
      <c r="I167" s="103" t="s">
        <v>0</v>
      </c>
      <c r="J167" s="103" t="s">
        <v>0</v>
      </c>
      <c r="K167" s="103" t="s">
        <v>0</v>
      </c>
      <c r="L167" s="103" t="s">
        <v>0</v>
      </c>
      <c r="M167" s="105">
        <f>M168+M172</f>
        <v>235800226.62</v>
      </c>
      <c r="N167" s="105">
        <f t="shared" ref="N167:O167" si="37">N168+N172</f>
        <v>235788122.31999999</v>
      </c>
      <c r="O167" s="105">
        <f t="shared" si="37"/>
        <v>235788122.31999999</v>
      </c>
      <c r="P167" s="157">
        <f t="shared" si="31"/>
        <v>0.99994866714008923</v>
      </c>
    </row>
    <row r="168" spans="1:16" s="106" customFormat="1" ht="15.75" x14ac:dyDescent="0.2">
      <c r="A168" s="107" t="s">
        <v>120</v>
      </c>
      <c r="B168" s="103" t="s">
        <v>117</v>
      </c>
      <c r="C168" s="103" t="s">
        <v>28</v>
      </c>
      <c r="D168" s="103" t="s">
        <v>72</v>
      </c>
      <c r="E168" s="103" t="s">
        <v>66</v>
      </c>
      <c r="F168" s="103" t="s">
        <v>23</v>
      </c>
      <c r="G168" s="103" t="s">
        <v>61</v>
      </c>
      <c r="H168" s="103" t="s">
        <v>0</v>
      </c>
      <c r="I168" s="103" t="s">
        <v>0</v>
      </c>
      <c r="J168" s="103" t="s">
        <v>0</v>
      </c>
      <c r="K168" s="103" t="s">
        <v>0</v>
      </c>
      <c r="L168" s="103" t="s">
        <v>0</v>
      </c>
      <c r="M168" s="105">
        <f>M169</f>
        <v>75422753.010000005</v>
      </c>
      <c r="N168" s="105">
        <f t="shared" ref="N168:O170" si="38">N169</f>
        <v>75422753.010000005</v>
      </c>
      <c r="O168" s="105">
        <f t="shared" si="38"/>
        <v>75422753.010000005</v>
      </c>
      <c r="P168" s="157">
        <f t="shared" si="31"/>
        <v>1</v>
      </c>
    </row>
    <row r="169" spans="1:16" s="106" customFormat="1" ht="47.25" x14ac:dyDescent="0.2">
      <c r="A169" s="102" t="s">
        <v>35</v>
      </c>
      <c r="B169" s="103" t="s">
        <v>117</v>
      </c>
      <c r="C169" s="103" t="s">
        <v>28</v>
      </c>
      <c r="D169" s="103" t="s">
        <v>72</v>
      </c>
      <c r="E169" s="103" t="s">
        <v>66</v>
      </c>
      <c r="F169" s="103" t="s">
        <v>23</v>
      </c>
      <c r="G169" s="103" t="s">
        <v>61</v>
      </c>
      <c r="H169" s="103" t="s">
        <v>36</v>
      </c>
      <c r="I169" s="104" t="s">
        <v>0</v>
      </c>
      <c r="J169" s="104" t="s">
        <v>0</v>
      </c>
      <c r="K169" s="104" t="s">
        <v>0</v>
      </c>
      <c r="L169" s="104" t="s">
        <v>0</v>
      </c>
      <c r="M169" s="105">
        <f>M170</f>
        <v>75422753.010000005</v>
      </c>
      <c r="N169" s="105">
        <f t="shared" si="38"/>
        <v>75422753.010000005</v>
      </c>
      <c r="O169" s="105">
        <f t="shared" si="38"/>
        <v>75422753.010000005</v>
      </c>
      <c r="P169" s="157">
        <f t="shared" si="31"/>
        <v>1</v>
      </c>
    </row>
    <row r="170" spans="1:16" s="106" customFormat="1" ht="63" x14ac:dyDescent="0.2">
      <c r="A170" s="102" t="s">
        <v>492</v>
      </c>
      <c r="B170" s="103" t="s">
        <v>117</v>
      </c>
      <c r="C170" s="103" t="s">
        <v>28</v>
      </c>
      <c r="D170" s="103" t="s">
        <v>72</v>
      </c>
      <c r="E170" s="103" t="s">
        <v>66</v>
      </c>
      <c r="F170" s="103" t="s">
        <v>23</v>
      </c>
      <c r="G170" s="103" t="s">
        <v>61</v>
      </c>
      <c r="H170" s="103" t="s">
        <v>36</v>
      </c>
      <c r="I170" s="103" t="s">
        <v>67</v>
      </c>
      <c r="J170" s="103" t="s">
        <v>0</v>
      </c>
      <c r="K170" s="103" t="s">
        <v>0</v>
      </c>
      <c r="L170" s="103" t="s">
        <v>0</v>
      </c>
      <c r="M170" s="105">
        <f>M171</f>
        <v>75422753.010000005</v>
      </c>
      <c r="N170" s="105">
        <f t="shared" si="38"/>
        <v>75422753.010000005</v>
      </c>
      <c r="O170" s="105">
        <f t="shared" si="38"/>
        <v>75422753.010000005</v>
      </c>
      <c r="P170" s="157">
        <f t="shared" si="31"/>
        <v>1</v>
      </c>
    </row>
    <row r="171" spans="1:16" s="106" customFormat="1" ht="31.5" x14ac:dyDescent="0.2">
      <c r="A171" s="108" t="s">
        <v>121</v>
      </c>
      <c r="B171" s="109" t="s">
        <v>117</v>
      </c>
      <c r="C171" s="109" t="s">
        <v>28</v>
      </c>
      <c r="D171" s="109" t="s">
        <v>72</v>
      </c>
      <c r="E171" s="109" t="s">
        <v>66</v>
      </c>
      <c r="F171" s="109" t="s">
        <v>23</v>
      </c>
      <c r="G171" s="109" t="s">
        <v>61</v>
      </c>
      <c r="H171" s="109" t="s">
        <v>36</v>
      </c>
      <c r="I171" s="109" t="s">
        <v>67</v>
      </c>
      <c r="J171" s="110" t="s">
        <v>122</v>
      </c>
      <c r="K171" s="110" t="s">
        <v>123</v>
      </c>
      <c r="L171" s="110" t="s">
        <v>301</v>
      </c>
      <c r="M171" s="99">
        <f>62246281.75+16800000-2000000-1623528.74</f>
        <v>75422753.010000005</v>
      </c>
      <c r="N171" s="99">
        <f>62246281.75+16800000-2000000-1623528.74</f>
        <v>75422753.010000005</v>
      </c>
      <c r="O171" s="99">
        <f>62246281.75+16800000-2000000-1623528.74</f>
        <v>75422753.010000005</v>
      </c>
      <c r="P171" s="156">
        <f t="shared" si="31"/>
        <v>1</v>
      </c>
    </row>
    <row r="172" spans="1:16" s="106" customFormat="1" ht="15.75" x14ac:dyDescent="0.2">
      <c r="A172" s="107" t="s">
        <v>124</v>
      </c>
      <c r="B172" s="103" t="s">
        <v>117</v>
      </c>
      <c r="C172" s="103" t="s">
        <v>28</v>
      </c>
      <c r="D172" s="103" t="s">
        <v>72</v>
      </c>
      <c r="E172" s="103" t="s">
        <v>66</v>
      </c>
      <c r="F172" s="103" t="s">
        <v>23</v>
      </c>
      <c r="G172" s="103" t="s">
        <v>34</v>
      </c>
      <c r="H172" s="103" t="s">
        <v>0</v>
      </c>
      <c r="I172" s="103" t="s">
        <v>0</v>
      </c>
      <c r="J172" s="103" t="s">
        <v>0</v>
      </c>
      <c r="K172" s="103" t="s">
        <v>0</v>
      </c>
      <c r="L172" s="103" t="s">
        <v>0</v>
      </c>
      <c r="M172" s="105">
        <f>M173</f>
        <v>160377473.61000001</v>
      </c>
      <c r="N172" s="105">
        <f t="shared" ref="N172:O174" si="39">N173</f>
        <v>160365369.31</v>
      </c>
      <c r="O172" s="105">
        <f t="shared" si="39"/>
        <v>160365369.31</v>
      </c>
      <c r="P172" s="157">
        <f t="shared" si="31"/>
        <v>0.99992452618358707</v>
      </c>
    </row>
    <row r="173" spans="1:16" s="106" customFormat="1" ht="94.5" x14ac:dyDescent="0.2">
      <c r="A173" s="102" t="s">
        <v>308</v>
      </c>
      <c r="B173" s="103" t="s">
        <v>117</v>
      </c>
      <c r="C173" s="103" t="s">
        <v>28</v>
      </c>
      <c r="D173" s="103" t="s">
        <v>72</v>
      </c>
      <c r="E173" s="103" t="s">
        <v>66</v>
      </c>
      <c r="F173" s="103" t="s">
        <v>23</v>
      </c>
      <c r="G173" s="103" t="s">
        <v>34</v>
      </c>
      <c r="H173" s="103" t="s">
        <v>125</v>
      </c>
      <c r="I173" s="104" t="s">
        <v>0</v>
      </c>
      <c r="J173" s="104" t="s">
        <v>0</v>
      </c>
      <c r="K173" s="104" t="s">
        <v>0</v>
      </c>
      <c r="L173" s="104" t="s">
        <v>0</v>
      </c>
      <c r="M173" s="105">
        <f>M174</f>
        <v>160377473.61000001</v>
      </c>
      <c r="N173" s="105">
        <f t="shared" si="39"/>
        <v>160365369.31</v>
      </c>
      <c r="O173" s="105">
        <f t="shared" si="39"/>
        <v>160365369.31</v>
      </c>
      <c r="P173" s="157">
        <f t="shared" si="31"/>
        <v>0.99992452618358707</v>
      </c>
    </row>
    <row r="174" spans="1:16" s="106" customFormat="1" ht="63" x14ac:dyDescent="0.2">
      <c r="A174" s="102" t="s">
        <v>492</v>
      </c>
      <c r="B174" s="103" t="s">
        <v>117</v>
      </c>
      <c r="C174" s="103" t="s">
        <v>28</v>
      </c>
      <c r="D174" s="103" t="s">
        <v>72</v>
      </c>
      <c r="E174" s="103" t="s">
        <v>66</v>
      </c>
      <c r="F174" s="103" t="s">
        <v>23</v>
      </c>
      <c r="G174" s="103" t="s">
        <v>34</v>
      </c>
      <c r="H174" s="103" t="s">
        <v>125</v>
      </c>
      <c r="I174" s="103" t="s">
        <v>67</v>
      </c>
      <c r="J174" s="103" t="s">
        <v>0</v>
      </c>
      <c r="K174" s="103" t="s">
        <v>0</v>
      </c>
      <c r="L174" s="103" t="s">
        <v>0</v>
      </c>
      <c r="M174" s="105">
        <f>M175</f>
        <v>160377473.61000001</v>
      </c>
      <c r="N174" s="105">
        <f t="shared" si="39"/>
        <v>160365369.31</v>
      </c>
      <c r="O174" s="105">
        <f t="shared" si="39"/>
        <v>160365369.31</v>
      </c>
      <c r="P174" s="157">
        <f t="shared" si="31"/>
        <v>0.99992452618358707</v>
      </c>
    </row>
    <row r="175" spans="1:16" s="106" customFormat="1" ht="47.25" x14ac:dyDescent="0.2">
      <c r="A175" s="108" t="s">
        <v>126</v>
      </c>
      <c r="B175" s="109" t="s">
        <v>117</v>
      </c>
      <c r="C175" s="109" t="s">
        <v>28</v>
      </c>
      <c r="D175" s="109" t="s">
        <v>72</v>
      </c>
      <c r="E175" s="109" t="s">
        <v>66</v>
      </c>
      <c r="F175" s="109" t="s">
        <v>23</v>
      </c>
      <c r="G175" s="109" t="s">
        <v>34</v>
      </c>
      <c r="H175" s="109" t="s">
        <v>125</v>
      </c>
      <c r="I175" s="109" t="s">
        <v>67</v>
      </c>
      <c r="J175" s="110" t="s">
        <v>76</v>
      </c>
      <c r="K175" s="123">
        <v>3000</v>
      </c>
      <c r="L175" s="110" t="s">
        <v>300</v>
      </c>
      <c r="M175" s="99">
        <f>155000000+5377473.61</f>
        <v>160377473.61000001</v>
      </c>
      <c r="N175" s="100">
        <v>160365369.31</v>
      </c>
      <c r="O175" s="141">
        <v>160365369.31</v>
      </c>
      <c r="P175" s="156">
        <f t="shared" si="31"/>
        <v>0.99992452618358707</v>
      </c>
    </row>
    <row r="176" spans="1:16" s="101" customFormat="1" ht="47.25" x14ac:dyDescent="0.2">
      <c r="A176" s="112" t="s">
        <v>127</v>
      </c>
      <c r="B176" s="113" t="s">
        <v>128</v>
      </c>
      <c r="C176" s="113" t="s">
        <v>0</v>
      </c>
      <c r="D176" s="113" t="s">
        <v>0</v>
      </c>
      <c r="E176" s="113" t="s">
        <v>0</v>
      </c>
      <c r="F176" s="113" t="s">
        <v>0</v>
      </c>
      <c r="G176" s="113" t="s">
        <v>0</v>
      </c>
      <c r="H176" s="114" t="s">
        <v>0</v>
      </c>
      <c r="I176" s="114" t="s">
        <v>0</v>
      </c>
      <c r="J176" s="114" t="s">
        <v>0</v>
      </c>
      <c r="K176" s="114" t="s">
        <v>0</v>
      </c>
      <c r="L176" s="114" t="s">
        <v>0</v>
      </c>
      <c r="M176" s="105">
        <f t="shared" ref="M176:O182" si="40">M177</f>
        <v>63439344</v>
      </c>
      <c r="N176" s="105">
        <f t="shared" si="40"/>
        <v>3855000</v>
      </c>
      <c r="O176" s="105">
        <f t="shared" si="40"/>
        <v>3855000</v>
      </c>
      <c r="P176" s="157">
        <f t="shared" si="31"/>
        <v>6.076670654097558E-2</v>
      </c>
    </row>
    <row r="177" spans="1:16" s="101" customFormat="1" ht="47.25" x14ac:dyDescent="0.2">
      <c r="A177" s="112" t="s">
        <v>129</v>
      </c>
      <c r="B177" s="113" t="s">
        <v>128</v>
      </c>
      <c r="C177" s="113" t="s">
        <v>14</v>
      </c>
      <c r="D177" s="113" t="s">
        <v>0</v>
      </c>
      <c r="E177" s="113" t="s">
        <v>0</v>
      </c>
      <c r="F177" s="113" t="s">
        <v>0</v>
      </c>
      <c r="G177" s="113" t="s">
        <v>0</v>
      </c>
      <c r="H177" s="114" t="s">
        <v>0</v>
      </c>
      <c r="I177" s="114" t="s">
        <v>0</v>
      </c>
      <c r="J177" s="114" t="s">
        <v>0</v>
      </c>
      <c r="K177" s="114" t="s">
        <v>0</v>
      </c>
      <c r="L177" s="114" t="s">
        <v>0</v>
      </c>
      <c r="M177" s="105">
        <f t="shared" si="40"/>
        <v>63439344</v>
      </c>
      <c r="N177" s="105">
        <f t="shared" si="40"/>
        <v>3855000</v>
      </c>
      <c r="O177" s="105">
        <f t="shared" si="40"/>
        <v>3855000</v>
      </c>
      <c r="P177" s="157">
        <f t="shared" si="31"/>
        <v>6.076670654097558E-2</v>
      </c>
    </row>
    <row r="178" spans="1:16" s="101" customFormat="1" ht="78.75" x14ac:dyDescent="0.2">
      <c r="A178" s="112" t="s">
        <v>130</v>
      </c>
      <c r="B178" s="113" t="s">
        <v>128</v>
      </c>
      <c r="C178" s="113" t="s">
        <v>14</v>
      </c>
      <c r="D178" s="113" t="s">
        <v>131</v>
      </c>
      <c r="E178" s="113" t="s">
        <v>0</v>
      </c>
      <c r="F178" s="113" t="s">
        <v>0</v>
      </c>
      <c r="G178" s="113" t="s">
        <v>0</v>
      </c>
      <c r="H178" s="114" t="s">
        <v>0</v>
      </c>
      <c r="I178" s="114" t="s">
        <v>0</v>
      </c>
      <c r="J178" s="114" t="s">
        <v>0</v>
      </c>
      <c r="K178" s="114" t="s">
        <v>0</v>
      </c>
      <c r="L178" s="114" t="s">
        <v>0</v>
      </c>
      <c r="M178" s="105">
        <f t="shared" si="40"/>
        <v>63439344</v>
      </c>
      <c r="N178" s="105">
        <f t="shared" si="40"/>
        <v>3855000</v>
      </c>
      <c r="O178" s="105">
        <f t="shared" si="40"/>
        <v>3855000</v>
      </c>
      <c r="P178" s="157">
        <f t="shared" si="31"/>
        <v>6.076670654097558E-2</v>
      </c>
    </row>
    <row r="179" spans="1:16" s="101" customFormat="1" ht="47.25" x14ac:dyDescent="0.2">
      <c r="A179" s="112" t="s">
        <v>132</v>
      </c>
      <c r="B179" s="113" t="s">
        <v>128</v>
      </c>
      <c r="C179" s="113" t="s">
        <v>14</v>
      </c>
      <c r="D179" s="113" t="s">
        <v>131</v>
      </c>
      <c r="E179" s="113" t="s">
        <v>133</v>
      </c>
      <c r="F179" s="113" t="s">
        <v>0</v>
      </c>
      <c r="G179" s="113" t="s">
        <v>0</v>
      </c>
      <c r="H179" s="114" t="s">
        <v>0</v>
      </c>
      <c r="I179" s="114" t="s">
        <v>0</v>
      </c>
      <c r="J179" s="114" t="s">
        <v>0</v>
      </c>
      <c r="K179" s="114" t="s">
        <v>0</v>
      </c>
      <c r="L179" s="114" t="s">
        <v>0</v>
      </c>
      <c r="M179" s="105">
        <f t="shared" si="40"/>
        <v>63439344</v>
      </c>
      <c r="N179" s="105">
        <f t="shared" si="40"/>
        <v>3855000</v>
      </c>
      <c r="O179" s="105">
        <f t="shared" si="40"/>
        <v>3855000</v>
      </c>
      <c r="P179" s="157">
        <f t="shared" si="31"/>
        <v>6.076670654097558E-2</v>
      </c>
    </row>
    <row r="180" spans="1:16" s="101" customFormat="1" ht="15.75" x14ac:dyDescent="0.2">
      <c r="A180" s="115" t="s">
        <v>84</v>
      </c>
      <c r="B180" s="113" t="s">
        <v>128</v>
      </c>
      <c r="C180" s="113" t="s">
        <v>14</v>
      </c>
      <c r="D180" s="113" t="s">
        <v>131</v>
      </c>
      <c r="E180" s="113" t="s">
        <v>133</v>
      </c>
      <c r="F180" s="113" t="s">
        <v>85</v>
      </c>
      <c r="G180" s="113" t="s">
        <v>0</v>
      </c>
      <c r="H180" s="113" t="s">
        <v>0</v>
      </c>
      <c r="I180" s="113" t="s">
        <v>0</v>
      </c>
      <c r="J180" s="113" t="s">
        <v>0</v>
      </c>
      <c r="K180" s="113" t="s">
        <v>0</v>
      </c>
      <c r="L180" s="113" t="s">
        <v>0</v>
      </c>
      <c r="M180" s="105">
        <f t="shared" si="40"/>
        <v>63439344</v>
      </c>
      <c r="N180" s="105">
        <f t="shared" si="40"/>
        <v>3855000</v>
      </c>
      <c r="O180" s="105">
        <f t="shared" si="40"/>
        <v>3855000</v>
      </c>
      <c r="P180" s="157">
        <f t="shared" si="31"/>
        <v>6.076670654097558E-2</v>
      </c>
    </row>
    <row r="181" spans="1:16" s="101" customFormat="1" ht="15.75" x14ac:dyDescent="0.2">
      <c r="A181" s="115" t="s">
        <v>134</v>
      </c>
      <c r="B181" s="113" t="s">
        <v>128</v>
      </c>
      <c r="C181" s="113" t="s">
        <v>14</v>
      </c>
      <c r="D181" s="113" t="s">
        <v>131</v>
      </c>
      <c r="E181" s="113" t="s">
        <v>133</v>
      </c>
      <c r="F181" s="113" t="s">
        <v>85</v>
      </c>
      <c r="G181" s="113" t="s">
        <v>59</v>
      </c>
      <c r="H181" s="113" t="s">
        <v>0</v>
      </c>
      <c r="I181" s="113" t="s">
        <v>0</v>
      </c>
      <c r="J181" s="113" t="s">
        <v>0</v>
      </c>
      <c r="K181" s="113" t="s">
        <v>0</v>
      </c>
      <c r="L181" s="113" t="s">
        <v>0</v>
      </c>
      <c r="M181" s="105">
        <f t="shared" si="40"/>
        <v>63439344</v>
      </c>
      <c r="N181" s="105">
        <f t="shared" si="40"/>
        <v>3855000</v>
      </c>
      <c r="O181" s="105">
        <f t="shared" si="40"/>
        <v>3855000</v>
      </c>
      <c r="P181" s="157">
        <f t="shared" si="31"/>
        <v>6.076670654097558E-2</v>
      </c>
    </row>
    <row r="182" spans="1:16" s="101" customFormat="1" ht="47.25" x14ac:dyDescent="0.2">
      <c r="A182" s="112" t="s">
        <v>35</v>
      </c>
      <c r="B182" s="113" t="s">
        <v>128</v>
      </c>
      <c r="C182" s="113" t="s">
        <v>14</v>
      </c>
      <c r="D182" s="113" t="s">
        <v>131</v>
      </c>
      <c r="E182" s="113" t="s">
        <v>133</v>
      </c>
      <c r="F182" s="113" t="s">
        <v>85</v>
      </c>
      <c r="G182" s="113" t="s">
        <v>59</v>
      </c>
      <c r="H182" s="113" t="s">
        <v>36</v>
      </c>
      <c r="I182" s="114" t="s">
        <v>0</v>
      </c>
      <c r="J182" s="114" t="s">
        <v>0</v>
      </c>
      <c r="K182" s="114" t="s">
        <v>0</v>
      </c>
      <c r="L182" s="114" t="s">
        <v>0</v>
      </c>
      <c r="M182" s="105">
        <f t="shared" si="40"/>
        <v>63439344</v>
      </c>
      <c r="N182" s="105">
        <f t="shared" si="40"/>
        <v>3855000</v>
      </c>
      <c r="O182" s="105">
        <f t="shared" si="40"/>
        <v>3855000</v>
      </c>
      <c r="P182" s="157">
        <f t="shared" si="31"/>
        <v>6.076670654097558E-2</v>
      </c>
    </row>
    <row r="183" spans="1:16" s="101" customFormat="1" ht="63" x14ac:dyDescent="0.2">
      <c r="A183" s="102" t="s">
        <v>492</v>
      </c>
      <c r="B183" s="113" t="s">
        <v>128</v>
      </c>
      <c r="C183" s="113" t="s">
        <v>14</v>
      </c>
      <c r="D183" s="113" t="s">
        <v>131</v>
      </c>
      <c r="E183" s="113" t="s">
        <v>133</v>
      </c>
      <c r="F183" s="113" t="s">
        <v>85</v>
      </c>
      <c r="G183" s="113" t="s">
        <v>59</v>
      </c>
      <c r="H183" s="113" t="s">
        <v>36</v>
      </c>
      <c r="I183" s="113" t="s">
        <v>67</v>
      </c>
      <c r="J183" s="113" t="s">
        <v>0</v>
      </c>
      <c r="K183" s="113" t="s">
        <v>0</v>
      </c>
      <c r="L183" s="113" t="s">
        <v>0</v>
      </c>
      <c r="M183" s="105">
        <f>M184+M185</f>
        <v>63439344</v>
      </c>
      <c r="N183" s="105">
        <f t="shared" ref="N183:O183" si="41">N184+N185</f>
        <v>3855000</v>
      </c>
      <c r="O183" s="105">
        <f t="shared" si="41"/>
        <v>3855000</v>
      </c>
      <c r="P183" s="157">
        <f t="shared" si="31"/>
        <v>6.076670654097558E-2</v>
      </c>
    </row>
    <row r="184" spans="1:16" s="101" customFormat="1" ht="31.5" x14ac:dyDescent="0.2">
      <c r="A184" s="96" t="s">
        <v>436</v>
      </c>
      <c r="B184" s="97" t="s">
        <v>128</v>
      </c>
      <c r="C184" s="97" t="s">
        <v>14</v>
      </c>
      <c r="D184" s="97" t="s">
        <v>131</v>
      </c>
      <c r="E184" s="97" t="s">
        <v>133</v>
      </c>
      <c r="F184" s="97" t="s">
        <v>85</v>
      </c>
      <c r="G184" s="97" t="s">
        <v>59</v>
      </c>
      <c r="H184" s="97" t="s">
        <v>36</v>
      </c>
      <c r="I184" s="97" t="s">
        <v>67</v>
      </c>
      <c r="J184" s="98" t="s">
        <v>0</v>
      </c>
      <c r="K184" s="98" t="s">
        <v>0</v>
      </c>
      <c r="L184" s="110" t="s">
        <v>301</v>
      </c>
      <c r="M184" s="99">
        <v>60000000</v>
      </c>
      <c r="N184" s="100">
        <v>3855000</v>
      </c>
      <c r="O184" s="141">
        <v>3855000</v>
      </c>
      <c r="P184" s="156">
        <f t="shared" si="31"/>
        <v>6.4250000000000002E-2</v>
      </c>
    </row>
    <row r="185" spans="1:16" s="101" customFormat="1" ht="47.25" x14ac:dyDescent="0.2">
      <c r="A185" s="96" t="s">
        <v>390</v>
      </c>
      <c r="B185" s="97" t="s">
        <v>128</v>
      </c>
      <c r="C185" s="97" t="s">
        <v>14</v>
      </c>
      <c r="D185" s="97" t="s">
        <v>131</v>
      </c>
      <c r="E185" s="97" t="s">
        <v>133</v>
      </c>
      <c r="F185" s="97" t="s">
        <v>85</v>
      </c>
      <c r="G185" s="97" t="s">
        <v>59</v>
      </c>
      <c r="H185" s="97" t="s">
        <v>36</v>
      </c>
      <c r="I185" s="97" t="s">
        <v>67</v>
      </c>
      <c r="J185" s="98" t="s">
        <v>76</v>
      </c>
      <c r="K185" s="98">
        <v>100</v>
      </c>
      <c r="L185" s="110" t="s">
        <v>301</v>
      </c>
      <c r="M185" s="99">
        <f>7190000-3750656</f>
        <v>3439344</v>
      </c>
      <c r="N185" s="100">
        <v>0</v>
      </c>
      <c r="O185" s="141">
        <v>0</v>
      </c>
      <c r="P185" s="156">
        <f t="shared" si="31"/>
        <v>0</v>
      </c>
    </row>
    <row r="186" spans="1:16" s="35" customFormat="1" ht="409.5" customHeight="1" x14ac:dyDescent="0.2">
      <c r="A186" s="165" t="s">
        <v>536</v>
      </c>
      <c r="P186" s="166" t="s">
        <v>537</v>
      </c>
    </row>
    <row r="187" spans="1:16" s="35" customFormat="1" ht="167.25" customHeight="1" x14ac:dyDescent="0.25">
      <c r="A187" s="153" t="s">
        <v>535</v>
      </c>
    </row>
    <row r="188" spans="1:16" s="35" customFormat="1" ht="15.75" x14ac:dyDescent="0.2"/>
    <row r="189" spans="1:16" s="35" customFormat="1" ht="15.75" x14ac:dyDescent="0.2"/>
    <row r="190" spans="1:16" s="35" customFormat="1" ht="15.75" x14ac:dyDescent="0.2"/>
    <row r="191" spans="1:16" s="35" customFormat="1" ht="15.75" x14ac:dyDescent="0.2"/>
    <row r="192" spans="1:16" s="35" customFormat="1" ht="15.75" x14ac:dyDescent="0.2"/>
    <row r="193" s="35" customFormat="1" ht="15.75" x14ac:dyDescent="0.2"/>
    <row r="194" s="35" customFormat="1" ht="15.75" x14ac:dyDescent="0.2"/>
    <row r="195" s="35" customFormat="1" ht="15.75" x14ac:dyDescent="0.2"/>
    <row r="196" s="35" customFormat="1" ht="15.75" x14ac:dyDescent="0.2"/>
    <row r="197" s="35" customFormat="1" ht="15.75" x14ac:dyDescent="0.2"/>
    <row r="198" s="35" customFormat="1" ht="15.75" x14ac:dyDescent="0.2"/>
    <row r="199" s="35" customFormat="1" ht="15.75" x14ac:dyDescent="0.2"/>
    <row r="200" s="35" customFormat="1" ht="15.75" x14ac:dyDescent="0.2"/>
    <row r="201" s="35" customFormat="1" ht="15.75" x14ac:dyDescent="0.2"/>
    <row r="202" s="35" customFormat="1" ht="15.75" x14ac:dyDescent="0.2"/>
    <row r="203" s="35" customFormat="1" ht="15.75" x14ac:dyDescent="0.2"/>
    <row r="204" s="35" customFormat="1" ht="15.75" x14ac:dyDescent="0.2"/>
    <row r="205" s="35" customFormat="1" ht="15.75" x14ac:dyDescent="0.2"/>
    <row r="206" s="35" customFormat="1" ht="15.75" x14ac:dyDescent="0.2"/>
    <row r="207" s="35" customFormat="1" ht="15.75" x14ac:dyDescent="0.2"/>
    <row r="208" s="35" customFormat="1" ht="15.75" x14ac:dyDescent="0.2"/>
    <row r="209" s="35" customFormat="1" ht="15.75" x14ac:dyDescent="0.2"/>
    <row r="210" s="35" customFormat="1" ht="15.75" x14ac:dyDescent="0.2"/>
    <row r="211" s="35" customFormat="1" ht="15.75" x14ac:dyDescent="0.2"/>
    <row r="212" s="35" customFormat="1" ht="15.75" x14ac:dyDescent="0.2"/>
    <row r="213" s="35" customFormat="1" ht="15.75" x14ac:dyDescent="0.2"/>
    <row r="214" s="35" customFormat="1" ht="15.75" x14ac:dyDescent="0.2"/>
    <row r="215" s="35" customFormat="1" ht="15.75" x14ac:dyDescent="0.2"/>
    <row r="216" s="35" customFormat="1" ht="15.75" x14ac:dyDescent="0.2"/>
    <row r="217" s="35" customFormat="1" ht="15.75" x14ac:dyDescent="0.2"/>
    <row r="218" s="35" customFormat="1" ht="15.75" x14ac:dyDescent="0.2"/>
    <row r="219" s="35" customFormat="1" ht="15.75" x14ac:dyDescent="0.2"/>
    <row r="220" s="35" customFormat="1" ht="15.75" x14ac:dyDescent="0.2"/>
    <row r="221" s="35" customFormat="1" ht="15.75" x14ac:dyDescent="0.2"/>
    <row r="222" s="35" customFormat="1" ht="15.75" x14ac:dyDescent="0.2"/>
    <row r="223" s="35" customFormat="1" ht="15.75" x14ac:dyDescent="0.2"/>
  </sheetData>
  <autoFilter ref="A7:M185"/>
  <mergeCells count="3">
    <mergeCell ref="A5:M5"/>
    <mergeCell ref="G2:M2"/>
    <mergeCell ref="A4:P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11"/>
  <sheetViews>
    <sheetView view="pageBreakPreview" topLeftCell="A307" zoomScale="90" zoomScaleNormal="100" zoomScaleSheetLayoutView="90" workbookViewId="0">
      <selection activeCell="F311" sqref="F311"/>
    </sheetView>
  </sheetViews>
  <sheetFormatPr defaultColWidth="9.33203125" defaultRowHeight="12.75" x14ac:dyDescent="0.2"/>
  <cols>
    <col min="1" max="1" width="45" style="23" customWidth="1"/>
    <col min="2" max="5" width="8.6640625" style="23" customWidth="1"/>
    <col min="6" max="7" width="6.1640625" style="23" customWidth="1"/>
    <col min="8" max="8" width="9.83203125" style="23" customWidth="1"/>
    <col min="9" max="9" width="8.83203125" style="23" customWidth="1"/>
    <col min="10" max="10" width="10.83203125" style="23" customWidth="1"/>
    <col min="11" max="11" width="9.83203125" style="23" customWidth="1"/>
    <col min="12" max="12" width="10.1640625" style="23" customWidth="1"/>
    <col min="13" max="13" width="21" style="23" customWidth="1"/>
    <col min="14" max="14" width="21" style="22" customWidth="1"/>
    <col min="15" max="16" width="21" style="23" customWidth="1"/>
    <col min="17" max="16384" width="9.33203125" style="23"/>
  </cols>
  <sheetData>
    <row r="1" spans="1:16" ht="18.75" customHeight="1" x14ac:dyDescent="0.2">
      <c r="A1" s="27" t="s">
        <v>0</v>
      </c>
      <c r="B1" s="27" t="s">
        <v>0</v>
      </c>
      <c r="C1" s="27" t="s">
        <v>0</v>
      </c>
      <c r="D1" s="27" t="s">
        <v>0</v>
      </c>
      <c r="E1" s="27" t="s">
        <v>0</v>
      </c>
      <c r="F1" s="27" t="s">
        <v>0</v>
      </c>
      <c r="G1" s="38"/>
      <c r="H1" s="38"/>
      <c r="I1" s="38"/>
      <c r="J1" s="38"/>
      <c r="K1" s="38"/>
      <c r="L1" s="38"/>
      <c r="P1" s="75" t="s">
        <v>525</v>
      </c>
    </row>
    <row r="2" spans="1:16" ht="20.100000000000001" hidden="1" customHeight="1" x14ac:dyDescent="0.25">
      <c r="A2" s="27"/>
      <c r="B2" s="27"/>
      <c r="C2" s="27"/>
      <c r="D2" s="27"/>
      <c r="E2" s="27"/>
      <c r="F2" s="27"/>
      <c r="G2" s="176"/>
      <c r="H2" s="176"/>
      <c r="I2" s="176"/>
      <c r="J2" s="176"/>
      <c r="K2" s="176"/>
      <c r="L2" s="176"/>
      <c r="M2" s="176"/>
    </row>
    <row r="3" spans="1:16" ht="12" hidden="1" customHeight="1" x14ac:dyDescent="0.2">
      <c r="A3" s="27"/>
      <c r="B3" s="27"/>
      <c r="C3" s="27"/>
      <c r="D3" s="27"/>
      <c r="E3" s="27"/>
      <c r="F3" s="27"/>
      <c r="G3" s="39"/>
      <c r="H3" s="39"/>
      <c r="I3" s="39"/>
      <c r="J3" s="39"/>
      <c r="K3" s="39"/>
      <c r="L3" s="39"/>
      <c r="M3" s="39"/>
    </row>
    <row r="4" spans="1:16" ht="30" customHeight="1" x14ac:dyDescent="0.2">
      <c r="A4" s="177" t="s">
        <v>533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</row>
    <row r="5" spans="1:16" ht="18.75" customHeight="1" x14ac:dyDescent="0.25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P5" s="84" t="s">
        <v>1</v>
      </c>
    </row>
    <row r="6" spans="1:16" ht="40.15" customHeight="1" x14ac:dyDescent="0.2">
      <c r="A6" s="36" t="s">
        <v>377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28" t="s">
        <v>9</v>
      </c>
      <c r="J6" s="37" t="s">
        <v>10</v>
      </c>
      <c r="K6" s="37" t="s">
        <v>11</v>
      </c>
      <c r="L6" s="37" t="s">
        <v>12</v>
      </c>
      <c r="M6" s="77" t="s">
        <v>528</v>
      </c>
      <c r="N6" s="83" t="s">
        <v>529</v>
      </c>
      <c r="O6" s="83" t="s">
        <v>530</v>
      </c>
      <c r="P6" s="83" t="s">
        <v>531</v>
      </c>
    </row>
    <row r="7" spans="1:16" ht="16.5" customHeight="1" x14ac:dyDescent="0.2">
      <c r="A7" s="36" t="s">
        <v>13</v>
      </c>
      <c r="B7" s="36" t="s">
        <v>14</v>
      </c>
      <c r="C7" s="36" t="s">
        <v>15</v>
      </c>
      <c r="D7" s="36" t="s">
        <v>16</v>
      </c>
      <c r="E7" s="36" t="s">
        <v>17</v>
      </c>
      <c r="F7" s="36" t="s">
        <v>18</v>
      </c>
      <c r="G7" s="36" t="s">
        <v>19</v>
      </c>
      <c r="H7" s="36" t="s">
        <v>20</v>
      </c>
      <c r="I7" s="36" t="s">
        <v>21</v>
      </c>
      <c r="J7" s="36" t="s">
        <v>22</v>
      </c>
      <c r="K7" s="36" t="s">
        <v>23</v>
      </c>
      <c r="L7" s="36" t="s">
        <v>24</v>
      </c>
      <c r="M7" s="82" t="s">
        <v>25</v>
      </c>
      <c r="N7" s="82" t="s">
        <v>72</v>
      </c>
      <c r="O7" s="82" t="s">
        <v>54</v>
      </c>
      <c r="P7" s="36" t="s">
        <v>70</v>
      </c>
    </row>
    <row r="8" spans="1:16" ht="15.75" x14ac:dyDescent="0.2">
      <c r="A8" s="29" t="s">
        <v>317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78">
        <f>M290+M280+M185+M97+M65+M24+M9</f>
        <v>1629705044.5699999</v>
      </c>
      <c r="N8" s="78">
        <f t="shared" ref="N8:O8" si="0">N290+N280+N185+N97+N65+N24+N9</f>
        <v>1445547724.9099998</v>
      </c>
      <c r="O8" s="78">
        <f t="shared" si="0"/>
        <v>1454048278.6499999</v>
      </c>
      <c r="P8" s="155">
        <f>O8/M8</f>
        <v>0.89221560888869467</v>
      </c>
    </row>
    <row r="9" spans="1:16" s="101" customFormat="1" ht="63" x14ac:dyDescent="0.2">
      <c r="A9" s="122" t="s">
        <v>135</v>
      </c>
      <c r="B9" s="124" t="s">
        <v>59</v>
      </c>
      <c r="C9" s="124" t="s">
        <v>0</v>
      </c>
      <c r="D9" s="124" t="s">
        <v>0</v>
      </c>
      <c r="E9" s="124" t="s">
        <v>0</v>
      </c>
      <c r="F9" s="124" t="s">
        <v>0</v>
      </c>
      <c r="G9" s="124" t="s">
        <v>0</v>
      </c>
      <c r="H9" s="125" t="s">
        <v>0</v>
      </c>
      <c r="I9" s="125" t="s">
        <v>0</v>
      </c>
      <c r="J9" s="125" t="s">
        <v>0</v>
      </c>
      <c r="K9" s="125" t="s">
        <v>0</v>
      </c>
      <c r="L9" s="125" t="s">
        <v>0</v>
      </c>
      <c r="M9" s="126">
        <f t="shared" ref="M9:M14" si="1">M10</f>
        <v>27065532</v>
      </c>
      <c r="N9" s="126">
        <f t="shared" ref="N9:O10" si="2">N10</f>
        <v>24712709.329999998</v>
      </c>
      <c r="O9" s="126">
        <f t="shared" si="2"/>
        <v>24712709.329999998</v>
      </c>
      <c r="P9" s="157">
        <f t="shared" ref="P9:P72" si="3">O9/M9</f>
        <v>0.91306940983092433</v>
      </c>
    </row>
    <row r="10" spans="1:16" s="101" customFormat="1" ht="110.25" x14ac:dyDescent="0.2">
      <c r="A10" s="112" t="s">
        <v>136</v>
      </c>
      <c r="B10" s="113" t="s">
        <v>59</v>
      </c>
      <c r="C10" s="113" t="s">
        <v>28</v>
      </c>
      <c r="D10" s="113" t="s">
        <v>137</v>
      </c>
      <c r="E10" s="113" t="s">
        <v>0</v>
      </c>
      <c r="F10" s="113" t="s">
        <v>0</v>
      </c>
      <c r="G10" s="113" t="s">
        <v>0</v>
      </c>
      <c r="H10" s="114" t="s">
        <v>0</v>
      </c>
      <c r="I10" s="114" t="s">
        <v>0</v>
      </c>
      <c r="J10" s="114" t="s">
        <v>0</v>
      </c>
      <c r="K10" s="114" t="s">
        <v>0</v>
      </c>
      <c r="L10" s="114" t="s">
        <v>0</v>
      </c>
      <c r="M10" s="105">
        <f t="shared" si="1"/>
        <v>27065532</v>
      </c>
      <c r="N10" s="105">
        <f t="shared" si="2"/>
        <v>24712709.329999998</v>
      </c>
      <c r="O10" s="105">
        <f t="shared" si="2"/>
        <v>24712709.329999998</v>
      </c>
      <c r="P10" s="157">
        <f t="shared" si="3"/>
        <v>0.91306940983092433</v>
      </c>
    </row>
    <row r="11" spans="1:16" s="101" customFormat="1" ht="31.5" x14ac:dyDescent="0.2">
      <c r="A11" s="112" t="s">
        <v>138</v>
      </c>
      <c r="B11" s="113" t="s">
        <v>59</v>
      </c>
      <c r="C11" s="113" t="s">
        <v>28</v>
      </c>
      <c r="D11" s="113" t="s">
        <v>137</v>
      </c>
      <c r="E11" s="113" t="s">
        <v>139</v>
      </c>
      <c r="F11" s="113" t="s">
        <v>0</v>
      </c>
      <c r="G11" s="113" t="s">
        <v>0</v>
      </c>
      <c r="H11" s="114" t="s">
        <v>0</v>
      </c>
      <c r="I11" s="114" t="s">
        <v>0</v>
      </c>
      <c r="J11" s="114" t="s">
        <v>0</v>
      </c>
      <c r="K11" s="114" t="s">
        <v>0</v>
      </c>
      <c r="L11" s="114" t="s">
        <v>0</v>
      </c>
      <c r="M11" s="105">
        <f t="shared" si="1"/>
        <v>27065532</v>
      </c>
      <c r="N11" s="105">
        <f t="shared" ref="N11:O14" si="4">N12</f>
        <v>24712709.329999998</v>
      </c>
      <c r="O11" s="105">
        <f t="shared" si="4"/>
        <v>24712709.329999998</v>
      </c>
      <c r="P11" s="157">
        <f t="shared" si="3"/>
        <v>0.91306940983092433</v>
      </c>
    </row>
    <row r="12" spans="1:16" s="101" customFormat="1" ht="15.75" x14ac:dyDescent="0.2">
      <c r="A12" s="115" t="s">
        <v>140</v>
      </c>
      <c r="B12" s="113" t="s">
        <v>59</v>
      </c>
      <c r="C12" s="113" t="s">
        <v>28</v>
      </c>
      <c r="D12" s="113" t="s">
        <v>137</v>
      </c>
      <c r="E12" s="113" t="s">
        <v>139</v>
      </c>
      <c r="F12" s="113" t="s">
        <v>141</v>
      </c>
      <c r="G12" s="113" t="s">
        <v>0</v>
      </c>
      <c r="H12" s="113" t="s">
        <v>0</v>
      </c>
      <c r="I12" s="113" t="s">
        <v>0</v>
      </c>
      <c r="J12" s="113" t="s">
        <v>0</v>
      </c>
      <c r="K12" s="113" t="s">
        <v>0</v>
      </c>
      <c r="L12" s="113" t="s">
        <v>0</v>
      </c>
      <c r="M12" s="105">
        <f t="shared" si="1"/>
        <v>27065532</v>
      </c>
      <c r="N12" s="105">
        <f t="shared" si="4"/>
        <v>24712709.329999998</v>
      </c>
      <c r="O12" s="105">
        <f t="shared" si="4"/>
        <v>24712709.329999998</v>
      </c>
      <c r="P12" s="157">
        <f t="shared" si="3"/>
        <v>0.91306940983092433</v>
      </c>
    </row>
    <row r="13" spans="1:16" s="101" customFormat="1" ht="31.5" x14ac:dyDescent="0.2">
      <c r="A13" s="115" t="s">
        <v>142</v>
      </c>
      <c r="B13" s="113" t="s">
        <v>59</v>
      </c>
      <c r="C13" s="113" t="s">
        <v>28</v>
      </c>
      <c r="D13" s="113" t="s">
        <v>137</v>
      </c>
      <c r="E13" s="113" t="s">
        <v>139</v>
      </c>
      <c r="F13" s="113" t="s">
        <v>141</v>
      </c>
      <c r="G13" s="113" t="s">
        <v>32</v>
      </c>
      <c r="H13" s="113" t="s">
        <v>0</v>
      </c>
      <c r="I13" s="113" t="s">
        <v>0</v>
      </c>
      <c r="J13" s="113" t="s">
        <v>0</v>
      </c>
      <c r="K13" s="113" t="s">
        <v>0</v>
      </c>
      <c r="L13" s="113" t="s">
        <v>0</v>
      </c>
      <c r="M13" s="105">
        <f t="shared" si="1"/>
        <v>27065532</v>
      </c>
      <c r="N13" s="105">
        <f t="shared" si="4"/>
        <v>24712709.329999998</v>
      </c>
      <c r="O13" s="105">
        <f t="shared" si="4"/>
        <v>24712709.329999998</v>
      </c>
      <c r="P13" s="157">
        <f t="shared" si="3"/>
        <v>0.91306940983092433</v>
      </c>
    </row>
    <row r="14" spans="1:16" s="101" customFormat="1" ht="15.75" x14ac:dyDescent="0.2">
      <c r="A14" s="112" t="s">
        <v>140</v>
      </c>
      <c r="B14" s="113" t="s">
        <v>59</v>
      </c>
      <c r="C14" s="113" t="s">
        <v>28</v>
      </c>
      <c r="D14" s="113" t="s">
        <v>137</v>
      </c>
      <c r="E14" s="113" t="s">
        <v>139</v>
      </c>
      <c r="F14" s="113" t="s">
        <v>141</v>
      </c>
      <c r="G14" s="113" t="s">
        <v>32</v>
      </c>
      <c r="H14" s="113" t="s">
        <v>143</v>
      </c>
      <c r="I14" s="114" t="s">
        <v>0</v>
      </c>
      <c r="J14" s="114" t="s">
        <v>0</v>
      </c>
      <c r="K14" s="114" t="s">
        <v>0</v>
      </c>
      <c r="L14" s="114" t="s">
        <v>0</v>
      </c>
      <c r="M14" s="105">
        <f t="shared" si="1"/>
        <v>27065532</v>
      </c>
      <c r="N14" s="105">
        <f t="shared" si="4"/>
        <v>24712709.329999998</v>
      </c>
      <c r="O14" s="105">
        <f t="shared" si="4"/>
        <v>24712709.329999998</v>
      </c>
      <c r="P14" s="157">
        <f t="shared" si="3"/>
        <v>0.91306940983092433</v>
      </c>
    </row>
    <row r="15" spans="1:16" s="101" customFormat="1" ht="63" x14ac:dyDescent="0.2">
      <c r="A15" s="127" t="s">
        <v>290</v>
      </c>
      <c r="B15" s="113" t="s">
        <v>59</v>
      </c>
      <c r="C15" s="113" t="s">
        <v>28</v>
      </c>
      <c r="D15" s="113" t="s">
        <v>137</v>
      </c>
      <c r="E15" s="113" t="s">
        <v>139</v>
      </c>
      <c r="F15" s="113" t="s">
        <v>141</v>
      </c>
      <c r="G15" s="113" t="s">
        <v>32</v>
      </c>
      <c r="H15" s="113" t="s">
        <v>143</v>
      </c>
      <c r="I15" s="113" t="s">
        <v>144</v>
      </c>
      <c r="J15" s="113" t="s">
        <v>0</v>
      </c>
      <c r="K15" s="113" t="s">
        <v>0</v>
      </c>
      <c r="L15" s="113" t="s">
        <v>0</v>
      </c>
      <c r="M15" s="105">
        <f>M16+M18+M20+M22</f>
        <v>27065532</v>
      </c>
      <c r="N15" s="105">
        <f t="shared" ref="N15:O15" si="5">N16+N18+N20+N22</f>
        <v>24712709.329999998</v>
      </c>
      <c r="O15" s="105">
        <f t="shared" si="5"/>
        <v>24712709.329999998</v>
      </c>
      <c r="P15" s="157">
        <f t="shared" si="3"/>
        <v>0.91306940983092433</v>
      </c>
    </row>
    <row r="16" spans="1:16" s="101" customFormat="1" ht="31.5" x14ac:dyDescent="0.2">
      <c r="A16" s="120" t="s">
        <v>157</v>
      </c>
      <c r="B16" s="121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05">
        <f>M17</f>
        <v>3808767</v>
      </c>
      <c r="N16" s="105">
        <f t="shared" ref="N16:O16" si="6">N17</f>
        <v>1455944.33</v>
      </c>
      <c r="O16" s="105">
        <f t="shared" si="6"/>
        <v>1455944.33</v>
      </c>
      <c r="P16" s="157">
        <f t="shared" si="3"/>
        <v>0.38226132761599751</v>
      </c>
    </row>
    <row r="17" spans="1:16" s="101" customFormat="1" ht="31.5" x14ac:dyDescent="0.2">
      <c r="A17" s="128" t="s">
        <v>313</v>
      </c>
      <c r="B17" s="97" t="s">
        <v>59</v>
      </c>
      <c r="C17" s="97" t="s">
        <v>28</v>
      </c>
      <c r="D17" s="97" t="s">
        <v>137</v>
      </c>
      <c r="E17" s="97" t="s">
        <v>139</v>
      </c>
      <c r="F17" s="97" t="s">
        <v>141</v>
      </c>
      <c r="G17" s="97" t="s">
        <v>32</v>
      </c>
      <c r="H17" s="97" t="s">
        <v>143</v>
      </c>
      <c r="I17" s="97" t="s">
        <v>144</v>
      </c>
      <c r="J17" s="98" t="s">
        <v>148</v>
      </c>
      <c r="K17" s="98">
        <v>2</v>
      </c>
      <c r="L17" s="98">
        <v>2018</v>
      </c>
      <c r="M17" s="99">
        <v>3808767</v>
      </c>
      <c r="N17" s="99">
        <v>1455944.33</v>
      </c>
      <c r="O17" s="99">
        <v>1455944.33</v>
      </c>
      <c r="P17" s="156">
        <f t="shared" si="3"/>
        <v>0.38226132761599751</v>
      </c>
    </row>
    <row r="18" spans="1:16" s="101" customFormat="1" ht="31.5" x14ac:dyDescent="0.2">
      <c r="A18" s="112" t="s">
        <v>220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05">
        <f>M19</f>
        <v>4051750</v>
      </c>
      <c r="N18" s="105">
        <f t="shared" ref="N18:O18" si="7">N19</f>
        <v>4051750</v>
      </c>
      <c r="O18" s="105">
        <f t="shared" si="7"/>
        <v>4051750</v>
      </c>
      <c r="P18" s="157">
        <f t="shared" si="3"/>
        <v>1</v>
      </c>
    </row>
    <row r="19" spans="1:16" s="101" customFormat="1" ht="31.5" x14ac:dyDescent="0.2">
      <c r="A19" s="96" t="s">
        <v>314</v>
      </c>
      <c r="B19" s="97" t="s">
        <v>59</v>
      </c>
      <c r="C19" s="97" t="s">
        <v>28</v>
      </c>
      <c r="D19" s="97" t="s">
        <v>137</v>
      </c>
      <c r="E19" s="97" t="s">
        <v>139</v>
      </c>
      <c r="F19" s="97" t="s">
        <v>141</v>
      </c>
      <c r="G19" s="97" t="s">
        <v>32</v>
      </c>
      <c r="H19" s="97" t="s">
        <v>143</v>
      </c>
      <c r="I19" s="97" t="s">
        <v>144</v>
      </c>
      <c r="J19" s="98" t="s">
        <v>148</v>
      </c>
      <c r="K19" s="98">
        <v>3.43</v>
      </c>
      <c r="L19" s="98">
        <v>2018</v>
      </c>
      <c r="M19" s="99">
        <v>4051750</v>
      </c>
      <c r="N19" s="99">
        <v>4051750</v>
      </c>
      <c r="O19" s="99">
        <v>4051750</v>
      </c>
      <c r="P19" s="156">
        <f t="shared" si="3"/>
        <v>1</v>
      </c>
    </row>
    <row r="20" spans="1:16" s="101" customFormat="1" ht="15.75" x14ac:dyDescent="0.2">
      <c r="A20" s="112" t="s">
        <v>166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05">
        <f>M21</f>
        <v>4205015</v>
      </c>
      <c r="N20" s="105">
        <f t="shared" ref="N20:O20" si="8">N21</f>
        <v>4205015</v>
      </c>
      <c r="O20" s="105">
        <f t="shared" si="8"/>
        <v>4205015</v>
      </c>
      <c r="P20" s="157">
        <f t="shared" si="3"/>
        <v>1</v>
      </c>
    </row>
    <row r="21" spans="1:16" s="101" customFormat="1" ht="31.5" x14ac:dyDescent="0.2">
      <c r="A21" s="96" t="s">
        <v>315</v>
      </c>
      <c r="B21" s="97" t="s">
        <v>59</v>
      </c>
      <c r="C21" s="97" t="s">
        <v>28</v>
      </c>
      <c r="D21" s="97" t="s">
        <v>137</v>
      </c>
      <c r="E21" s="97" t="s">
        <v>139</v>
      </c>
      <c r="F21" s="97" t="s">
        <v>141</v>
      </c>
      <c r="G21" s="97" t="s">
        <v>32</v>
      </c>
      <c r="H21" s="97" t="s">
        <v>143</v>
      </c>
      <c r="I21" s="97" t="s">
        <v>144</v>
      </c>
      <c r="J21" s="98" t="s">
        <v>148</v>
      </c>
      <c r="K21" s="98">
        <v>3.6</v>
      </c>
      <c r="L21" s="98">
        <v>2018</v>
      </c>
      <c r="M21" s="99">
        <v>4205015</v>
      </c>
      <c r="N21" s="99">
        <v>4205015</v>
      </c>
      <c r="O21" s="99">
        <v>4205015</v>
      </c>
      <c r="P21" s="156">
        <f t="shared" si="3"/>
        <v>1</v>
      </c>
    </row>
    <row r="22" spans="1:16" s="101" customFormat="1" ht="15.75" x14ac:dyDescent="0.2">
      <c r="A22" s="112" t="s">
        <v>274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05">
        <f>M23</f>
        <v>15000000</v>
      </c>
      <c r="N22" s="105">
        <f t="shared" ref="N22:O22" si="9">N23</f>
        <v>15000000</v>
      </c>
      <c r="O22" s="105">
        <f t="shared" si="9"/>
        <v>15000000</v>
      </c>
      <c r="P22" s="157">
        <f t="shared" si="3"/>
        <v>1</v>
      </c>
    </row>
    <row r="23" spans="1:16" s="101" customFormat="1" ht="31.5" x14ac:dyDescent="0.2">
      <c r="A23" s="96" t="s">
        <v>145</v>
      </c>
      <c r="B23" s="97" t="s">
        <v>59</v>
      </c>
      <c r="C23" s="97" t="s">
        <v>28</v>
      </c>
      <c r="D23" s="97" t="s">
        <v>137</v>
      </c>
      <c r="E23" s="97" t="s">
        <v>139</v>
      </c>
      <c r="F23" s="97" t="s">
        <v>141</v>
      </c>
      <c r="G23" s="97" t="s">
        <v>32</v>
      </c>
      <c r="H23" s="97" t="s">
        <v>143</v>
      </c>
      <c r="I23" s="97" t="s">
        <v>144</v>
      </c>
      <c r="J23" s="98" t="s">
        <v>146</v>
      </c>
      <c r="K23" s="98" t="s">
        <v>147</v>
      </c>
      <c r="L23" s="98">
        <v>2020</v>
      </c>
      <c r="M23" s="99">
        <v>15000000</v>
      </c>
      <c r="N23" s="99">
        <v>15000000</v>
      </c>
      <c r="O23" s="99">
        <v>15000000</v>
      </c>
      <c r="P23" s="156">
        <f t="shared" si="3"/>
        <v>1</v>
      </c>
    </row>
    <row r="24" spans="1:16" s="101" customFormat="1" ht="78.75" x14ac:dyDescent="0.2">
      <c r="A24" s="112" t="s">
        <v>26</v>
      </c>
      <c r="B24" s="113" t="s">
        <v>24</v>
      </c>
      <c r="C24" s="113" t="s">
        <v>0</v>
      </c>
      <c r="D24" s="113" t="s">
        <v>0</v>
      </c>
      <c r="E24" s="113" t="s">
        <v>0</v>
      </c>
      <c r="F24" s="113" t="s">
        <v>0</v>
      </c>
      <c r="G24" s="113" t="s">
        <v>0</v>
      </c>
      <c r="H24" s="114" t="s">
        <v>0</v>
      </c>
      <c r="I24" s="114" t="s">
        <v>0</v>
      </c>
      <c r="J24" s="114" t="s">
        <v>0</v>
      </c>
      <c r="K24" s="114" t="s">
        <v>0</v>
      </c>
      <c r="L24" s="114" t="s">
        <v>0</v>
      </c>
      <c r="M24" s="105">
        <f t="shared" ref="M24:M30" si="10">M25</f>
        <v>60000000</v>
      </c>
      <c r="N24" s="105">
        <f t="shared" ref="N24:O30" si="11">N25</f>
        <v>57984268.580000006</v>
      </c>
      <c r="O24" s="105">
        <f t="shared" si="11"/>
        <v>57984268.580000006</v>
      </c>
      <c r="P24" s="157">
        <f t="shared" si="3"/>
        <v>0.96640447633333337</v>
      </c>
    </row>
    <row r="25" spans="1:16" s="101" customFormat="1" ht="31.5" x14ac:dyDescent="0.2">
      <c r="A25" s="112" t="s">
        <v>149</v>
      </c>
      <c r="B25" s="113" t="s">
        <v>24</v>
      </c>
      <c r="C25" s="113" t="s">
        <v>13</v>
      </c>
      <c r="D25" s="113" t="s">
        <v>0</v>
      </c>
      <c r="E25" s="113" t="s">
        <v>0</v>
      </c>
      <c r="F25" s="113" t="s">
        <v>0</v>
      </c>
      <c r="G25" s="113" t="s">
        <v>0</v>
      </c>
      <c r="H25" s="114" t="s">
        <v>0</v>
      </c>
      <c r="I25" s="114" t="s">
        <v>0</v>
      </c>
      <c r="J25" s="114" t="s">
        <v>0</v>
      </c>
      <c r="K25" s="114" t="s">
        <v>0</v>
      </c>
      <c r="L25" s="114" t="s">
        <v>0</v>
      </c>
      <c r="M25" s="105">
        <f t="shared" si="10"/>
        <v>60000000</v>
      </c>
      <c r="N25" s="105">
        <f t="shared" si="11"/>
        <v>57984268.580000006</v>
      </c>
      <c r="O25" s="105">
        <f t="shared" si="11"/>
        <v>57984268.580000006</v>
      </c>
      <c r="P25" s="157">
        <f t="shared" si="3"/>
        <v>0.96640447633333337</v>
      </c>
    </row>
    <row r="26" spans="1:16" s="101" customFormat="1" ht="63" x14ac:dyDescent="0.2">
      <c r="A26" s="112" t="s">
        <v>150</v>
      </c>
      <c r="B26" s="113" t="s">
        <v>24</v>
      </c>
      <c r="C26" s="113" t="s">
        <v>13</v>
      </c>
      <c r="D26" s="113" t="s">
        <v>151</v>
      </c>
      <c r="E26" s="113" t="s">
        <v>0</v>
      </c>
      <c r="F26" s="113" t="s">
        <v>0</v>
      </c>
      <c r="G26" s="113" t="s">
        <v>0</v>
      </c>
      <c r="H26" s="114" t="s">
        <v>0</v>
      </c>
      <c r="I26" s="114" t="s">
        <v>0</v>
      </c>
      <c r="J26" s="114" t="s">
        <v>0</v>
      </c>
      <c r="K26" s="114" t="s">
        <v>0</v>
      </c>
      <c r="L26" s="114" t="s">
        <v>0</v>
      </c>
      <c r="M26" s="105">
        <f t="shared" si="10"/>
        <v>60000000</v>
      </c>
      <c r="N26" s="105">
        <f t="shared" si="11"/>
        <v>57984268.580000006</v>
      </c>
      <c r="O26" s="105">
        <f t="shared" si="11"/>
        <v>57984268.580000006</v>
      </c>
      <c r="P26" s="157">
        <f t="shared" si="3"/>
        <v>0.96640447633333337</v>
      </c>
    </row>
    <row r="27" spans="1:16" s="101" customFormat="1" ht="63" x14ac:dyDescent="0.2">
      <c r="A27" s="112" t="s">
        <v>29</v>
      </c>
      <c r="B27" s="113" t="s">
        <v>24</v>
      </c>
      <c r="C27" s="113" t="s">
        <v>13</v>
      </c>
      <c r="D27" s="113" t="s">
        <v>151</v>
      </c>
      <c r="E27" s="113" t="s">
        <v>30</v>
      </c>
      <c r="F27" s="113" t="s">
        <v>0</v>
      </c>
      <c r="G27" s="113" t="s">
        <v>0</v>
      </c>
      <c r="H27" s="114" t="s">
        <v>0</v>
      </c>
      <c r="I27" s="114" t="s">
        <v>0</v>
      </c>
      <c r="J27" s="114" t="s">
        <v>0</v>
      </c>
      <c r="K27" s="114" t="s">
        <v>0</v>
      </c>
      <c r="L27" s="114" t="s">
        <v>0</v>
      </c>
      <c r="M27" s="105">
        <f t="shared" si="10"/>
        <v>60000000</v>
      </c>
      <c r="N27" s="105">
        <f t="shared" si="11"/>
        <v>57984268.580000006</v>
      </c>
      <c r="O27" s="105">
        <f t="shared" si="11"/>
        <v>57984268.580000006</v>
      </c>
      <c r="P27" s="157">
        <f t="shared" si="3"/>
        <v>0.96640447633333337</v>
      </c>
    </row>
    <row r="28" spans="1:16" s="101" customFormat="1" ht="31.5" x14ac:dyDescent="0.2">
      <c r="A28" s="115" t="s">
        <v>31</v>
      </c>
      <c r="B28" s="113" t="s">
        <v>24</v>
      </c>
      <c r="C28" s="113" t="s">
        <v>13</v>
      </c>
      <c r="D28" s="113" t="s">
        <v>151</v>
      </c>
      <c r="E28" s="113" t="s">
        <v>30</v>
      </c>
      <c r="F28" s="113" t="s">
        <v>32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05">
        <f t="shared" si="10"/>
        <v>60000000</v>
      </c>
      <c r="N28" s="105">
        <f t="shared" si="11"/>
        <v>57984268.580000006</v>
      </c>
      <c r="O28" s="105">
        <f t="shared" si="11"/>
        <v>57984268.580000006</v>
      </c>
      <c r="P28" s="157">
        <f t="shared" si="3"/>
        <v>0.96640447633333337</v>
      </c>
    </row>
    <row r="29" spans="1:16" s="101" customFormat="1" ht="15.75" x14ac:dyDescent="0.2">
      <c r="A29" s="115" t="s">
        <v>33</v>
      </c>
      <c r="B29" s="113" t="s">
        <v>24</v>
      </c>
      <c r="C29" s="113" t="s">
        <v>13</v>
      </c>
      <c r="D29" s="113" t="s">
        <v>151</v>
      </c>
      <c r="E29" s="113" t="s">
        <v>30</v>
      </c>
      <c r="F29" s="113" t="s">
        <v>32</v>
      </c>
      <c r="G29" s="113" t="s">
        <v>34</v>
      </c>
      <c r="H29" s="113" t="s">
        <v>0</v>
      </c>
      <c r="I29" s="113" t="s">
        <v>0</v>
      </c>
      <c r="J29" s="113" t="s">
        <v>0</v>
      </c>
      <c r="K29" s="113" t="s">
        <v>0</v>
      </c>
      <c r="L29" s="113" t="s">
        <v>0</v>
      </c>
      <c r="M29" s="105">
        <f t="shared" si="10"/>
        <v>60000000</v>
      </c>
      <c r="N29" s="105">
        <f t="shared" si="11"/>
        <v>57984268.580000006</v>
      </c>
      <c r="O29" s="105">
        <f t="shared" si="11"/>
        <v>57984268.580000006</v>
      </c>
      <c r="P29" s="157">
        <f t="shared" si="3"/>
        <v>0.96640447633333337</v>
      </c>
    </row>
    <row r="30" spans="1:16" s="101" customFormat="1" ht="47.25" x14ac:dyDescent="0.2">
      <c r="A30" s="112" t="s">
        <v>152</v>
      </c>
      <c r="B30" s="113" t="s">
        <v>24</v>
      </c>
      <c r="C30" s="113" t="s">
        <v>13</v>
      </c>
      <c r="D30" s="113" t="s">
        <v>151</v>
      </c>
      <c r="E30" s="113" t="s">
        <v>30</v>
      </c>
      <c r="F30" s="113" t="s">
        <v>32</v>
      </c>
      <c r="G30" s="113" t="s">
        <v>34</v>
      </c>
      <c r="H30" s="113" t="s">
        <v>153</v>
      </c>
      <c r="I30" s="114" t="s">
        <v>0</v>
      </c>
      <c r="J30" s="114" t="s">
        <v>0</v>
      </c>
      <c r="K30" s="114" t="s">
        <v>0</v>
      </c>
      <c r="L30" s="114" t="s">
        <v>0</v>
      </c>
      <c r="M30" s="105">
        <f t="shared" si="10"/>
        <v>60000000</v>
      </c>
      <c r="N30" s="105">
        <f t="shared" si="11"/>
        <v>57984268.580000006</v>
      </c>
      <c r="O30" s="105">
        <f t="shared" si="11"/>
        <v>57984268.580000006</v>
      </c>
      <c r="P30" s="157">
        <f t="shared" si="3"/>
        <v>0.96640447633333337</v>
      </c>
    </row>
    <row r="31" spans="1:16" s="101" customFormat="1" ht="63" x14ac:dyDescent="0.2">
      <c r="A31" s="112" t="s">
        <v>290</v>
      </c>
      <c r="B31" s="113" t="s">
        <v>24</v>
      </c>
      <c r="C31" s="113" t="s">
        <v>13</v>
      </c>
      <c r="D31" s="113" t="s">
        <v>151</v>
      </c>
      <c r="E31" s="113" t="s">
        <v>30</v>
      </c>
      <c r="F31" s="113" t="s">
        <v>32</v>
      </c>
      <c r="G31" s="113" t="s">
        <v>34</v>
      </c>
      <c r="H31" s="113" t="s">
        <v>153</v>
      </c>
      <c r="I31" s="113" t="s">
        <v>144</v>
      </c>
      <c r="J31" s="113" t="s">
        <v>0</v>
      </c>
      <c r="K31" s="113" t="s">
        <v>0</v>
      </c>
      <c r="L31" s="113" t="s">
        <v>0</v>
      </c>
      <c r="M31" s="105">
        <f>M33+M35+M37+M38+M39+M41+M43+M45+M46+M48+M49+M50+M52+M54+M55+M57+M59+M61+M63+M64</f>
        <v>60000000</v>
      </c>
      <c r="N31" s="105">
        <f t="shared" ref="N31:O31" si="12">N33+N35+N37+N38+N39+N41+N43+N45+N46+N48+N49+N50+N52+N54+N55+N57+N59+N61+N63+N64</f>
        <v>57984268.580000006</v>
      </c>
      <c r="O31" s="105">
        <f t="shared" si="12"/>
        <v>57984268.580000006</v>
      </c>
      <c r="P31" s="157">
        <f t="shared" si="3"/>
        <v>0.96640447633333337</v>
      </c>
    </row>
    <row r="32" spans="1:16" s="101" customFormat="1" ht="15.75" x14ac:dyDescent="0.2">
      <c r="A32" s="112" t="s">
        <v>405</v>
      </c>
      <c r="B32" s="129" t="s">
        <v>0</v>
      </c>
      <c r="C32" s="129" t="s">
        <v>0</v>
      </c>
      <c r="D32" s="129" t="s">
        <v>0</v>
      </c>
      <c r="E32" s="129" t="s">
        <v>0</v>
      </c>
      <c r="F32" s="129" t="s">
        <v>0</v>
      </c>
      <c r="G32" s="129" t="s">
        <v>0</v>
      </c>
      <c r="H32" s="129" t="s">
        <v>0</v>
      </c>
      <c r="I32" s="129" t="s">
        <v>0</v>
      </c>
      <c r="J32" s="129" t="s">
        <v>0</v>
      </c>
      <c r="K32" s="129" t="s">
        <v>0</v>
      </c>
      <c r="L32" s="129" t="s">
        <v>0</v>
      </c>
      <c r="M32" s="105">
        <f>M33</f>
        <v>5934004</v>
      </c>
      <c r="N32" s="105">
        <f t="shared" ref="N32:O32" si="13">N33</f>
        <v>5815323.9199999999</v>
      </c>
      <c r="O32" s="105">
        <f t="shared" si="13"/>
        <v>5815323.9199999999</v>
      </c>
      <c r="P32" s="157">
        <f t="shared" si="3"/>
        <v>0.98</v>
      </c>
    </row>
    <row r="33" spans="1:16" s="101" customFormat="1" ht="51" x14ac:dyDescent="0.2">
      <c r="A33" s="96" t="s">
        <v>175</v>
      </c>
      <c r="B33" s="97" t="s">
        <v>24</v>
      </c>
      <c r="C33" s="97" t="s">
        <v>13</v>
      </c>
      <c r="D33" s="97" t="s">
        <v>151</v>
      </c>
      <c r="E33" s="97" t="s">
        <v>30</v>
      </c>
      <c r="F33" s="97" t="s">
        <v>32</v>
      </c>
      <c r="G33" s="97" t="s">
        <v>34</v>
      </c>
      <c r="H33" s="97" t="s">
        <v>153</v>
      </c>
      <c r="I33" s="97" t="s">
        <v>144</v>
      </c>
      <c r="J33" s="98" t="s">
        <v>406</v>
      </c>
      <c r="K33" s="98" t="s">
        <v>407</v>
      </c>
      <c r="L33" s="98">
        <v>2018</v>
      </c>
      <c r="M33" s="99">
        <v>5934004</v>
      </c>
      <c r="N33" s="99">
        <v>5815323.9199999999</v>
      </c>
      <c r="O33" s="99">
        <v>5815323.9199999999</v>
      </c>
      <c r="P33" s="156">
        <f t="shared" si="3"/>
        <v>0.98</v>
      </c>
    </row>
    <row r="34" spans="1:16" s="101" customFormat="1" ht="31.5" x14ac:dyDescent="0.2">
      <c r="A34" s="112" t="s">
        <v>157</v>
      </c>
      <c r="B34" s="129" t="s">
        <v>0</v>
      </c>
      <c r="C34" s="129" t="s">
        <v>0</v>
      </c>
      <c r="D34" s="129" t="s">
        <v>0</v>
      </c>
      <c r="E34" s="129" t="s">
        <v>0</v>
      </c>
      <c r="F34" s="129" t="s">
        <v>0</v>
      </c>
      <c r="G34" s="129" t="s">
        <v>0</v>
      </c>
      <c r="H34" s="129" t="s">
        <v>0</v>
      </c>
      <c r="I34" s="129" t="s">
        <v>0</v>
      </c>
      <c r="J34" s="129" t="s">
        <v>0</v>
      </c>
      <c r="K34" s="129" t="s">
        <v>0</v>
      </c>
      <c r="L34" s="129" t="s">
        <v>0</v>
      </c>
      <c r="M34" s="105">
        <f>M35</f>
        <v>5155289</v>
      </c>
      <c r="N34" s="105">
        <f t="shared" ref="N34:O34" si="14">N35</f>
        <v>4702866.7</v>
      </c>
      <c r="O34" s="105">
        <f t="shared" si="14"/>
        <v>4702866.7</v>
      </c>
      <c r="P34" s="157">
        <f t="shared" si="3"/>
        <v>0.91224113720879663</v>
      </c>
    </row>
    <row r="35" spans="1:16" s="101" customFormat="1" ht="89.25" x14ac:dyDescent="0.2">
      <c r="A35" s="96" t="s">
        <v>408</v>
      </c>
      <c r="B35" s="97" t="s">
        <v>24</v>
      </c>
      <c r="C35" s="97" t="s">
        <v>13</v>
      </c>
      <c r="D35" s="97" t="s">
        <v>151</v>
      </c>
      <c r="E35" s="97" t="s">
        <v>30</v>
      </c>
      <c r="F35" s="97" t="s">
        <v>32</v>
      </c>
      <c r="G35" s="97" t="s">
        <v>34</v>
      </c>
      <c r="H35" s="97" t="s">
        <v>153</v>
      </c>
      <c r="I35" s="97" t="s">
        <v>144</v>
      </c>
      <c r="J35" s="98" t="s">
        <v>409</v>
      </c>
      <c r="K35" s="98" t="s">
        <v>410</v>
      </c>
      <c r="L35" s="98">
        <v>2018</v>
      </c>
      <c r="M35" s="99">
        <v>5155289</v>
      </c>
      <c r="N35" s="99">
        <v>4702866.7</v>
      </c>
      <c r="O35" s="99">
        <v>4702866.7</v>
      </c>
      <c r="P35" s="156">
        <f t="shared" si="3"/>
        <v>0.91224113720879663</v>
      </c>
    </row>
    <row r="36" spans="1:16" s="101" customFormat="1" ht="31.5" x14ac:dyDescent="0.2">
      <c r="A36" s="112" t="s">
        <v>159</v>
      </c>
      <c r="B36" s="129" t="s">
        <v>0</v>
      </c>
      <c r="C36" s="129" t="s">
        <v>0</v>
      </c>
      <c r="D36" s="129" t="s">
        <v>0</v>
      </c>
      <c r="E36" s="129" t="s">
        <v>0</v>
      </c>
      <c r="F36" s="129" t="s">
        <v>0</v>
      </c>
      <c r="G36" s="129" t="s">
        <v>0</v>
      </c>
      <c r="H36" s="129" t="s">
        <v>0</v>
      </c>
      <c r="I36" s="129" t="s">
        <v>0</v>
      </c>
      <c r="J36" s="129" t="s">
        <v>0</v>
      </c>
      <c r="K36" s="129" t="s">
        <v>0</v>
      </c>
      <c r="L36" s="129" t="s">
        <v>0</v>
      </c>
      <c r="M36" s="105">
        <f>M37+M38+M39</f>
        <v>5284669.5</v>
      </c>
      <c r="N36" s="105">
        <f t="shared" ref="N36:O36" si="15">N37+N38+N39</f>
        <v>5205661.68</v>
      </c>
      <c r="O36" s="105">
        <f t="shared" si="15"/>
        <v>5205661.68</v>
      </c>
      <c r="P36" s="157">
        <f t="shared" si="3"/>
        <v>0.98504961947005387</v>
      </c>
    </row>
    <row r="37" spans="1:16" s="101" customFormat="1" ht="47.25" x14ac:dyDescent="0.2">
      <c r="A37" s="96" t="s">
        <v>413</v>
      </c>
      <c r="B37" s="97" t="s">
        <v>24</v>
      </c>
      <c r="C37" s="97" t="s">
        <v>13</v>
      </c>
      <c r="D37" s="97" t="s">
        <v>151</v>
      </c>
      <c r="E37" s="97" t="s">
        <v>30</v>
      </c>
      <c r="F37" s="97" t="s">
        <v>32</v>
      </c>
      <c r="G37" s="97" t="s">
        <v>34</v>
      </c>
      <c r="H37" s="97" t="s">
        <v>153</v>
      </c>
      <c r="I37" s="97" t="s">
        <v>144</v>
      </c>
      <c r="J37" s="98" t="s">
        <v>155</v>
      </c>
      <c r="K37" s="98">
        <v>0.66</v>
      </c>
      <c r="L37" s="98">
        <v>2018</v>
      </c>
      <c r="M37" s="99">
        <v>1070241.5</v>
      </c>
      <c r="N37" s="99">
        <v>1070241.5</v>
      </c>
      <c r="O37" s="99">
        <v>1070241.5</v>
      </c>
      <c r="P37" s="156">
        <f t="shared" si="3"/>
        <v>1</v>
      </c>
    </row>
    <row r="38" spans="1:16" s="101" customFormat="1" ht="47.25" x14ac:dyDescent="0.2">
      <c r="A38" s="96" t="s">
        <v>414</v>
      </c>
      <c r="B38" s="97" t="s">
        <v>24</v>
      </c>
      <c r="C38" s="97" t="s">
        <v>13</v>
      </c>
      <c r="D38" s="97" t="s">
        <v>151</v>
      </c>
      <c r="E38" s="97" t="s">
        <v>30</v>
      </c>
      <c r="F38" s="97" t="s">
        <v>32</v>
      </c>
      <c r="G38" s="97" t="s">
        <v>34</v>
      </c>
      <c r="H38" s="97" t="s">
        <v>153</v>
      </c>
      <c r="I38" s="97" t="s">
        <v>144</v>
      </c>
      <c r="J38" s="98" t="s">
        <v>155</v>
      </c>
      <c r="K38" s="98">
        <v>2.73</v>
      </c>
      <c r="L38" s="98">
        <v>2018</v>
      </c>
      <c r="M38" s="99">
        <v>2521205</v>
      </c>
      <c r="N38" s="99">
        <v>2508598.9700000002</v>
      </c>
      <c r="O38" s="99">
        <v>2508598.9700000002</v>
      </c>
      <c r="P38" s="156">
        <f t="shared" si="3"/>
        <v>0.99499999801682137</v>
      </c>
    </row>
    <row r="39" spans="1:16" s="101" customFormat="1" ht="51" x14ac:dyDescent="0.2">
      <c r="A39" s="96" t="s">
        <v>160</v>
      </c>
      <c r="B39" s="97" t="s">
        <v>24</v>
      </c>
      <c r="C39" s="97" t="s">
        <v>13</v>
      </c>
      <c r="D39" s="97" t="s">
        <v>151</v>
      </c>
      <c r="E39" s="97" t="s">
        <v>30</v>
      </c>
      <c r="F39" s="97" t="s">
        <v>32</v>
      </c>
      <c r="G39" s="97" t="s">
        <v>34</v>
      </c>
      <c r="H39" s="97" t="s">
        <v>153</v>
      </c>
      <c r="I39" s="97" t="s">
        <v>144</v>
      </c>
      <c r="J39" s="98" t="s">
        <v>411</v>
      </c>
      <c r="K39" s="98" t="s">
        <v>412</v>
      </c>
      <c r="L39" s="98">
        <v>2018</v>
      </c>
      <c r="M39" s="99">
        <v>1693223</v>
      </c>
      <c r="N39" s="99">
        <v>1626821.21</v>
      </c>
      <c r="O39" s="99">
        <v>1626821.21</v>
      </c>
      <c r="P39" s="156">
        <f t="shared" si="3"/>
        <v>0.96078378925870955</v>
      </c>
    </row>
    <row r="40" spans="1:16" s="101" customFormat="1" ht="15.75" x14ac:dyDescent="0.2">
      <c r="A40" s="112" t="s">
        <v>161</v>
      </c>
      <c r="B40" s="129" t="s">
        <v>0</v>
      </c>
      <c r="C40" s="129" t="s">
        <v>0</v>
      </c>
      <c r="D40" s="129" t="s">
        <v>0</v>
      </c>
      <c r="E40" s="129" t="s">
        <v>0</v>
      </c>
      <c r="F40" s="129" t="s">
        <v>0</v>
      </c>
      <c r="G40" s="129" t="s">
        <v>0</v>
      </c>
      <c r="H40" s="129" t="s">
        <v>0</v>
      </c>
      <c r="I40" s="129" t="s">
        <v>0</v>
      </c>
      <c r="J40" s="129" t="s">
        <v>0</v>
      </c>
      <c r="K40" s="129" t="s">
        <v>0</v>
      </c>
      <c r="L40" s="129" t="s">
        <v>0</v>
      </c>
      <c r="M40" s="105">
        <f>M41</f>
        <v>6489250.5</v>
      </c>
      <c r="N40" s="105">
        <f t="shared" ref="N40:O40" si="16">N41</f>
        <v>6489250.5</v>
      </c>
      <c r="O40" s="105">
        <f t="shared" si="16"/>
        <v>6489250.5</v>
      </c>
      <c r="P40" s="157">
        <f t="shared" si="3"/>
        <v>1</v>
      </c>
    </row>
    <row r="41" spans="1:16" s="101" customFormat="1" ht="51" x14ac:dyDescent="0.2">
      <c r="A41" s="96" t="s">
        <v>162</v>
      </c>
      <c r="B41" s="97" t="s">
        <v>24</v>
      </c>
      <c r="C41" s="97" t="s">
        <v>13</v>
      </c>
      <c r="D41" s="97" t="s">
        <v>151</v>
      </c>
      <c r="E41" s="97" t="s">
        <v>30</v>
      </c>
      <c r="F41" s="97" t="s">
        <v>32</v>
      </c>
      <c r="G41" s="97" t="s">
        <v>34</v>
      </c>
      <c r="H41" s="97" t="s">
        <v>153</v>
      </c>
      <c r="I41" s="97" t="s">
        <v>144</v>
      </c>
      <c r="J41" s="98" t="s">
        <v>406</v>
      </c>
      <c r="K41" s="98" t="s">
        <v>415</v>
      </c>
      <c r="L41" s="98">
        <v>2018</v>
      </c>
      <c r="M41" s="99">
        <v>6489250.5</v>
      </c>
      <c r="N41" s="99">
        <v>6489250.5</v>
      </c>
      <c r="O41" s="99">
        <v>6489250.5</v>
      </c>
      <c r="P41" s="156">
        <f t="shared" si="3"/>
        <v>1</v>
      </c>
    </row>
    <row r="42" spans="1:16" s="101" customFormat="1" ht="31.5" x14ac:dyDescent="0.2">
      <c r="A42" s="112" t="s">
        <v>163</v>
      </c>
      <c r="B42" s="129" t="s">
        <v>0</v>
      </c>
      <c r="C42" s="129" t="s">
        <v>0</v>
      </c>
      <c r="D42" s="129" t="s">
        <v>0</v>
      </c>
      <c r="E42" s="129" t="s">
        <v>0</v>
      </c>
      <c r="F42" s="129" t="s">
        <v>0</v>
      </c>
      <c r="G42" s="129" t="s">
        <v>0</v>
      </c>
      <c r="H42" s="129" t="s">
        <v>0</v>
      </c>
      <c r="I42" s="129" t="s">
        <v>0</v>
      </c>
      <c r="J42" s="129" t="s">
        <v>0</v>
      </c>
      <c r="K42" s="129" t="s">
        <v>0</v>
      </c>
      <c r="L42" s="129" t="s">
        <v>0</v>
      </c>
      <c r="M42" s="105">
        <f>M43</f>
        <v>6032595</v>
      </c>
      <c r="N42" s="105">
        <f t="shared" ref="N42:O42" si="17">N43</f>
        <v>6032595</v>
      </c>
      <c r="O42" s="105">
        <f t="shared" si="17"/>
        <v>6032595</v>
      </c>
      <c r="P42" s="157">
        <f t="shared" si="3"/>
        <v>1</v>
      </c>
    </row>
    <row r="43" spans="1:16" s="101" customFormat="1" ht="51" x14ac:dyDescent="0.2">
      <c r="A43" s="96" t="s">
        <v>164</v>
      </c>
      <c r="B43" s="97" t="s">
        <v>24</v>
      </c>
      <c r="C43" s="97" t="s">
        <v>13</v>
      </c>
      <c r="D43" s="97" t="s">
        <v>151</v>
      </c>
      <c r="E43" s="97" t="s">
        <v>30</v>
      </c>
      <c r="F43" s="97" t="s">
        <v>32</v>
      </c>
      <c r="G43" s="97" t="s">
        <v>34</v>
      </c>
      <c r="H43" s="97" t="s">
        <v>153</v>
      </c>
      <c r="I43" s="97" t="s">
        <v>144</v>
      </c>
      <c r="J43" s="98" t="s">
        <v>165</v>
      </c>
      <c r="K43" s="98" t="s">
        <v>416</v>
      </c>
      <c r="L43" s="98">
        <v>2018</v>
      </c>
      <c r="M43" s="99">
        <v>6032595</v>
      </c>
      <c r="N43" s="99">
        <v>6032595</v>
      </c>
      <c r="O43" s="99">
        <v>6032595</v>
      </c>
      <c r="P43" s="156">
        <f t="shared" si="3"/>
        <v>1</v>
      </c>
    </row>
    <row r="44" spans="1:16" s="101" customFormat="1" ht="31.5" x14ac:dyDescent="0.2">
      <c r="A44" s="112" t="s">
        <v>229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05">
        <f>M45+M46</f>
        <v>1101116.5</v>
      </c>
      <c r="N44" s="105">
        <f t="shared" ref="N44:O44" si="18">N45+N46</f>
        <v>1018275.55</v>
      </c>
      <c r="O44" s="105">
        <f t="shared" si="18"/>
        <v>1018275.55</v>
      </c>
      <c r="P44" s="157">
        <f t="shared" si="3"/>
        <v>0.92476640755088135</v>
      </c>
    </row>
    <row r="45" spans="1:16" s="101" customFormat="1" ht="63" x14ac:dyDescent="0.2">
      <c r="A45" s="96" t="s">
        <v>154</v>
      </c>
      <c r="B45" s="97" t="s">
        <v>24</v>
      </c>
      <c r="C45" s="97" t="s">
        <v>13</v>
      </c>
      <c r="D45" s="97" t="s">
        <v>151</v>
      </c>
      <c r="E45" s="97" t="s">
        <v>30</v>
      </c>
      <c r="F45" s="97" t="s">
        <v>32</v>
      </c>
      <c r="G45" s="97" t="s">
        <v>34</v>
      </c>
      <c r="H45" s="97" t="s">
        <v>153</v>
      </c>
      <c r="I45" s="97" t="s">
        <v>144</v>
      </c>
      <c r="J45" s="98" t="s">
        <v>155</v>
      </c>
      <c r="K45" s="98" t="s">
        <v>156</v>
      </c>
      <c r="L45" s="98">
        <v>2018</v>
      </c>
      <c r="M45" s="99">
        <v>374328.5</v>
      </c>
      <c r="N45" s="99">
        <v>291487.55</v>
      </c>
      <c r="O45" s="99">
        <v>291487.55</v>
      </c>
      <c r="P45" s="156">
        <f t="shared" si="3"/>
        <v>0.77869451564601677</v>
      </c>
    </row>
    <row r="46" spans="1:16" s="101" customFormat="1" ht="78.75" x14ac:dyDescent="0.2">
      <c r="A46" s="96" t="s">
        <v>417</v>
      </c>
      <c r="B46" s="97" t="s">
        <v>24</v>
      </c>
      <c r="C46" s="97" t="s">
        <v>13</v>
      </c>
      <c r="D46" s="97" t="s">
        <v>151</v>
      </c>
      <c r="E46" s="97" t="s">
        <v>30</v>
      </c>
      <c r="F46" s="97" t="s">
        <v>32</v>
      </c>
      <c r="G46" s="97" t="s">
        <v>34</v>
      </c>
      <c r="H46" s="97" t="s">
        <v>153</v>
      </c>
      <c r="I46" s="97" t="s">
        <v>144</v>
      </c>
      <c r="J46" s="98" t="s">
        <v>155</v>
      </c>
      <c r="K46" s="98">
        <v>1.3740000000000001</v>
      </c>
      <c r="L46" s="98">
        <v>2018</v>
      </c>
      <c r="M46" s="99">
        <v>726788</v>
      </c>
      <c r="N46" s="99">
        <v>726788</v>
      </c>
      <c r="O46" s="99">
        <v>726788</v>
      </c>
      <c r="P46" s="156">
        <f t="shared" si="3"/>
        <v>1</v>
      </c>
    </row>
    <row r="47" spans="1:16" s="101" customFormat="1" ht="31.5" x14ac:dyDescent="0.2">
      <c r="A47" s="112" t="s">
        <v>169</v>
      </c>
      <c r="B47" s="129" t="s">
        <v>0</v>
      </c>
      <c r="C47" s="129" t="s">
        <v>0</v>
      </c>
      <c r="D47" s="129" t="s">
        <v>0</v>
      </c>
      <c r="E47" s="129" t="s">
        <v>0</v>
      </c>
      <c r="F47" s="129" t="s">
        <v>0</v>
      </c>
      <c r="G47" s="129" t="s">
        <v>0</v>
      </c>
      <c r="H47" s="129" t="s">
        <v>0</v>
      </c>
      <c r="I47" s="129" t="s">
        <v>0</v>
      </c>
      <c r="J47" s="129" t="s">
        <v>0</v>
      </c>
      <c r="K47" s="129" t="s">
        <v>0</v>
      </c>
      <c r="L47" s="129" t="s">
        <v>0</v>
      </c>
      <c r="M47" s="105">
        <f>M48+M49+M50</f>
        <v>7391076</v>
      </c>
      <c r="N47" s="105">
        <f t="shared" ref="N47:O47" si="19">N48+N49+N50</f>
        <v>7391060.6699999999</v>
      </c>
      <c r="O47" s="105">
        <f t="shared" si="19"/>
        <v>7391060.6699999999</v>
      </c>
      <c r="P47" s="157">
        <f t="shared" si="3"/>
        <v>0.99999792587709824</v>
      </c>
    </row>
    <row r="48" spans="1:16" s="101" customFormat="1" ht="51" x14ac:dyDescent="0.2">
      <c r="A48" s="96" t="s">
        <v>170</v>
      </c>
      <c r="B48" s="97" t="s">
        <v>24</v>
      </c>
      <c r="C48" s="97" t="s">
        <v>13</v>
      </c>
      <c r="D48" s="97" t="s">
        <v>151</v>
      </c>
      <c r="E48" s="97" t="s">
        <v>30</v>
      </c>
      <c r="F48" s="97" t="s">
        <v>32</v>
      </c>
      <c r="G48" s="97" t="s">
        <v>34</v>
      </c>
      <c r="H48" s="97" t="s">
        <v>153</v>
      </c>
      <c r="I48" s="97" t="s">
        <v>144</v>
      </c>
      <c r="J48" s="98" t="s">
        <v>411</v>
      </c>
      <c r="K48" s="98" t="s">
        <v>418</v>
      </c>
      <c r="L48" s="98">
        <v>2018</v>
      </c>
      <c r="M48" s="99">
        <v>2424096</v>
      </c>
      <c r="N48" s="99">
        <v>2424082.42</v>
      </c>
      <c r="O48" s="99">
        <v>2424082.42</v>
      </c>
      <c r="P48" s="156">
        <f t="shared" si="3"/>
        <v>0.9999943979116338</v>
      </c>
    </row>
    <row r="49" spans="1:16" s="101" customFormat="1" ht="51" x14ac:dyDescent="0.2">
      <c r="A49" s="96" t="s">
        <v>420</v>
      </c>
      <c r="B49" s="97" t="s">
        <v>24</v>
      </c>
      <c r="C49" s="97" t="s">
        <v>13</v>
      </c>
      <c r="D49" s="97" t="s">
        <v>151</v>
      </c>
      <c r="E49" s="97" t="s">
        <v>30</v>
      </c>
      <c r="F49" s="97" t="s">
        <v>32</v>
      </c>
      <c r="G49" s="97" t="s">
        <v>34</v>
      </c>
      <c r="H49" s="97" t="s">
        <v>153</v>
      </c>
      <c r="I49" s="97" t="s">
        <v>144</v>
      </c>
      <c r="J49" s="98" t="s">
        <v>406</v>
      </c>
      <c r="K49" s="98" t="s">
        <v>419</v>
      </c>
      <c r="L49" s="98">
        <v>2018</v>
      </c>
      <c r="M49" s="99">
        <v>2749708.5</v>
      </c>
      <c r="N49" s="99">
        <v>2749708.5</v>
      </c>
      <c r="O49" s="99">
        <v>2749708.5</v>
      </c>
      <c r="P49" s="156">
        <f t="shared" si="3"/>
        <v>1</v>
      </c>
    </row>
    <row r="50" spans="1:16" s="101" customFormat="1" ht="47.25" x14ac:dyDescent="0.2">
      <c r="A50" s="96" t="s">
        <v>171</v>
      </c>
      <c r="B50" s="97" t="s">
        <v>24</v>
      </c>
      <c r="C50" s="97" t="s">
        <v>13</v>
      </c>
      <c r="D50" s="97" t="s">
        <v>151</v>
      </c>
      <c r="E50" s="97" t="s">
        <v>30</v>
      </c>
      <c r="F50" s="97" t="s">
        <v>32</v>
      </c>
      <c r="G50" s="97" t="s">
        <v>34</v>
      </c>
      <c r="H50" s="97" t="s">
        <v>153</v>
      </c>
      <c r="I50" s="97" t="s">
        <v>144</v>
      </c>
      <c r="J50" s="98" t="s">
        <v>155</v>
      </c>
      <c r="K50" s="98">
        <v>2.6120000000000001</v>
      </c>
      <c r="L50" s="98">
        <v>2018</v>
      </c>
      <c r="M50" s="99">
        <v>2217271.5</v>
      </c>
      <c r="N50" s="99">
        <v>2217269.75</v>
      </c>
      <c r="O50" s="99">
        <v>2217269.75</v>
      </c>
      <c r="P50" s="156">
        <f t="shared" si="3"/>
        <v>0.99999921074167053</v>
      </c>
    </row>
    <row r="51" spans="1:16" s="101" customFormat="1" ht="15.75" x14ac:dyDescent="0.2">
      <c r="A51" s="112" t="s">
        <v>421</v>
      </c>
      <c r="B51" s="129" t="s">
        <v>0</v>
      </c>
      <c r="C51" s="129" t="s">
        <v>0</v>
      </c>
      <c r="D51" s="129" t="s">
        <v>0</v>
      </c>
      <c r="E51" s="129" t="s">
        <v>0</v>
      </c>
      <c r="F51" s="129" t="s">
        <v>0</v>
      </c>
      <c r="G51" s="129" t="s">
        <v>0</v>
      </c>
      <c r="H51" s="129" t="s">
        <v>0</v>
      </c>
      <c r="I51" s="129" t="s">
        <v>0</v>
      </c>
      <c r="J51" s="129" t="s">
        <v>0</v>
      </c>
      <c r="K51" s="129" t="s">
        <v>0</v>
      </c>
      <c r="L51" s="129" t="s">
        <v>0</v>
      </c>
      <c r="M51" s="105">
        <f>M52</f>
        <v>7429256.5</v>
      </c>
      <c r="N51" s="105">
        <f t="shared" ref="N51:O51" si="20">N52</f>
        <v>6445983.75</v>
      </c>
      <c r="O51" s="105">
        <f t="shared" si="20"/>
        <v>6445983.75</v>
      </c>
      <c r="P51" s="157">
        <f t="shared" si="3"/>
        <v>0.86764856617886321</v>
      </c>
    </row>
    <row r="52" spans="1:16" s="101" customFormat="1" ht="63" x14ac:dyDescent="0.2">
      <c r="A52" s="96" t="s">
        <v>173</v>
      </c>
      <c r="B52" s="97" t="s">
        <v>24</v>
      </c>
      <c r="C52" s="97" t="s">
        <v>13</v>
      </c>
      <c r="D52" s="97" t="s">
        <v>151</v>
      </c>
      <c r="E52" s="97" t="s">
        <v>30</v>
      </c>
      <c r="F52" s="97" t="s">
        <v>32</v>
      </c>
      <c r="G52" s="97" t="s">
        <v>34</v>
      </c>
      <c r="H52" s="97" t="s">
        <v>153</v>
      </c>
      <c r="I52" s="97" t="s">
        <v>144</v>
      </c>
      <c r="J52" s="98" t="s">
        <v>155</v>
      </c>
      <c r="K52" s="98">
        <v>9.0109999999999992</v>
      </c>
      <c r="L52" s="98">
        <v>2018</v>
      </c>
      <c r="M52" s="99">
        <v>7429256.5</v>
      </c>
      <c r="N52" s="99">
        <v>6445983.75</v>
      </c>
      <c r="O52" s="99">
        <v>6445983.75</v>
      </c>
      <c r="P52" s="156">
        <f t="shared" si="3"/>
        <v>0.86764856617886321</v>
      </c>
    </row>
    <row r="53" spans="1:16" s="101" customFormat="1" ht="15.75" x14ac:dyDescent="0.2">
      <c r="A53" s="112" t="s">
        <v>422</v>
      </c>
      <c r="B53" s="129" t="s">
        <v>0</v>
      </c>
      <c r="C53" s="129" t="s">
        <v>0</v>
      </c>
      <c r="D53" s="129" t="s">
        <v>0</v>
      </c>
      <c r="E53" s="129" t="s">
        <v>0</v>
      </c>
      <c r="F53" s="129" t="s">
        <v>0</v>
      </c>
      <c r="G53" s="129" t="s">
        <v>0</v>
      </c>
      <c r="H53" s="129" t="s">
        <v>0</v>
      </c>
      <c r="I53" s="129" t="s">
        <v>0</v>
      </c>
      <c r="J53" s="129" t="s">
        <v>0</v>
      </c>
      <c r="K53" s="129" t="s">
        <v>0</v>
      </c>
      <c r="L53" s="129" t="s">
        <v>0</v>
      </c>
      <c r="M53" s="105">
        <f>M54+M55</f>
        <v>2035327.5</v>
      </c>
      <c r="N53" s="105">
        <f t="shared" ref="N53:O53" si="21">N54+N55</f>
        <v>2035327.5</v>
      </c>
      <c r="O53" s="105">
        <f t="shared" si="21"/>
        <v>2035327.5</v>
      </c>
      <c r="P53" s="157">
        <f t="shared" si="3"/>
        <v>1</v>
      </c>
    </row>
    <row r="54" spans="1:16" s="101" customFormat="1" ht="47.25" x14ac:dyDescent="0.2">
      <c r="A54" s="96" t="s">
        <v>423</v>
      </c>
      <c r="B54" s="97" t="s">
        <v>24</v>
      </c>
      <c r="C54" s="97" t="s">
        <v>13</v>
      </c>
      <c r="D54" s="97" t="s">
        <v>151</v>
      </c>
      <c r="E54" s="97" t="s">
        <v>30</v>
      </c>
      <c r="F54" s="97" t="s">
        <v>32</v>
      </c>
      <c r="G54" s="97" t="s">
        <v>34</v>
      </c>
      <c r="H54" s="97" t="s">
        <v>153</v>
      </c>
      <c r="I54" s="97" t="s">
        <v>144</v>
      </c>
      <c r="J54" s="98" t="s">
        <v>155</v>
      </c>
      <c r="K54" s="98">
        <v>1.2</v>
      </c>
      <c r="L54" s="98">
        <v>2018</v>
      </c>
      <c r="M54" s="99">
        <v>807661.5</v>
      </c>
      <c r="N54" s="99">
        <v>807661.5</v>
      </c>
      <c r="O54" s="99">
        <v>807661.5</v>
      </c>
      <c r="P54" s="156">
        <f t="shared" si="3"/>
        <v>1</v>
      </c>
    </row>
    <row r="55" spans="1:16" s="101" customFormat="1" ht="47.25" x14ac:dyDescent="0.2">
      <c r="A55" s="96" t="s">
        <v>424</v>
      </c>
      <c r="B55" s="97" t="s">
        <v>24</v>
      </c>
      <c r="C55" s="97" t="s">
        <v>13</v>
      </c>
      <c r="D55" s="97" t="s">
        <v>151</v>
      </c>
      <c r="E55" s="97" t="s">
        <v>30</v>
      </c>
      <c r="F55" s="97" t="s">
        <v>32</v>
      </c>
      <c r="G55" s="97" t="s">
        <v>34</v>
      </c>
      <c r="H55" s="97" t="s">
        <v>153</v>
      </c>
      <c r="I55" s="97" t="s">
        <v>144</v>
      </c>
      <c r="J55" s="98" t="s">
        <v>155</v>
      </c>
      <c r="K55" s="98">
        <v>2.6619999999999999</v>
      </c>
      <c r="L55" s="98">
        <v>2018</v>
      </c>
      <c r="M55" s="99">
        <v>1227666</v>
      </c>
      <c r="N55" s="99">
        <v>1227666</v>
      </c>
      <c r="O55" s="99">
        <v>1227666</v>
      </c>
      <c r="P55" s="156">
        <f t="shared" si="3"/>
        <v>1</v>
      </c>
    </row>
    <row r="56" spans="1:16" s="101" customFormat="1" ht="15.75" x14ac:dyDescent="0.2">
      <c r="A56" s="112" t="s">
        <v>427</v>
      </c>
      <c r="B56" s="129" t="s">
        <v>0</v>
      </c>
      <c r="C56" s="129" t="s">
        <v>0</v>
      </c>
      <c r="D56" s="129" t="s">
        <v>0</v>
      </c>
      <c r="E56" s="129" t="s">
        <v>0</v>
      </c>
      <c r="F56" s="129" t="s">
        <v>0</v>
      </c>
      <c r="G56" s="129" t="s">
        <v>0</v>
      </c>
      <c r="H56" s="129" t="s">
        <v>0</v>
      </c>
      <c r="I56" s="129" t="s">
        <v>0</v>
      </c>
      <c r="J56" s="129" t="s">
        <v>0</v>
      </c>
      <c r="K56" s="129" t="s">
        <v>0</v>
      </c>
      <c r="L56" s="129" t="s">
        <v>0</v>
      </c>
      <c r="M56" s="105">
        <f>M57</f>
        <v>2845326</v>
      </c>
      <c r="N56" s="105">
        <f t="shared" ref="N56:O56" si="22">N57</f>
        <v>2845326</v>
      </c>
      <c r="O56" s="105">
        <f t="shared" si="22"/>
        <v>2845326</v>
      </c>
      <c r="P56" s="157">
        <f t="shared" si="3"/>
        <v>1</v>
      </c>
    </row>
    <row r="57" spans="1:16" s="101" customFormat="1" ht="31.5" x14ac:dyDescent="0.2">
      <c r="A57" s="96" t="s">
        <v>428</v>
      </c>
      <c r="B57" s="97" t="s">
        <v>24</v>
      </c>
      <c r="C57" s="97" t="s">
        <v>13</v>
      </c>
      <c r="D57" s="97" t="s">
        <v>151</v>
      </c>
      <c r="E57" s="97" t="s">
        <v>30</v>
      </c>
      <c r="F57" s="97" t="s">
        <v>32</v>
      </c>
      <c r="G57" s="97" t="s">
        <v>34</v>
      </c>
      <c r="H57" s="97" t="s">
        <v>153</v>
      </c>
      <c r="I57" s="97" t="s">
        <v>144</v>
      </c>
      <c r="J57" s="98" t="s">
        <v>155</v>
      </c>
      <c r="K57" s="98">
        <v>2.57</v>
      </c>
      <c r="L57" s="98">
        <v>2018</v>
      </c>
      <c r="M57" s="99">
        <v>2845326</v>
      </c>
      <c r="N57" s="99">
        <v>2845326</v>
      </c>
      <c r="O57" s="99">
        <v>2845326</v>
      </c>
      <c r="P57" s="156">
        <f t="shared" si="3"/>
        <v>1</v>
      </c>
    </row>
    <row r="58" spans="1:16" s="101" customFormat="1" ht="15.75" x14ac:dyDescent="0.2">
      <c r="A58" s="112" t="s">
        <v>429</v>
      </c>
      <c r="B58" s="129" t="s">
        <v>0</v>
      </c>
      <c r="C58" s="129" t="s">
        <v>0</v>
      </c>
      <c r="D58" s="129" t="s">
        <v>0</v>
      </c>
      <c r="E58" s="129" t="s">
        <v>0</v>
      </c>
      <c r="F58" s="129" t="s">
        <v>0</v>
      </c>
      <c r="G58" s="129" t="s">
        <v>0</v>
      </c>
      <c r="H58" s="129" t="s">
        <v>0</v>
      </c>
      <c r="I58" s="129" t="s">
        <v>0</v>
      </c>
      <c r="J58" s="129" t="s">
        <v>0</v>
      </c>
      <c r="K58" s="129" t="s">
        <v>0</v>
      </c>
      <c r="L58" s="129" t="s">
        <v>0</v>
      </c>
      <c r="M58" s="105">
        <f>M59</f>
        <v>4592585</v>
      </c>
      <c r="N58" s="105">
        <f t="shared" ref="N58:O58" si="23">N59</f>
        <v>4592585</v>
      </c>
      <c r="O58" s="105">
        <f t="shared" si="23"/>
        <v>4592585</v>
      </c>
      <c r="P58" s="157">
        <f t="shared" si="3"/>
        <v>1</v>
      </c>
    </row>
    <row r="59" spans="1:16" s="101" customFormat="1" ht="47.25" x14ac:dyDescent="0.2">
      <c r="A59" s="96" t="s">
        <v>430</v>
      </c>
      <c r="B59" s="97" t="s">
        <v>24</v>
      </c>
      <c r="C59" s="97" t="s">
        <v>13</v>
      </c>
      <c r="D59" s="97" t="s">
        <v>151</v>
      </c>
      <c r="E59" s="97" t="s">
        <v>30</v>
      </c>
      <c r="F59" s="97" t="s">
        <v>32</v>
      </c>
      <c r="G59" s="97" t="s">
        <v>34</v>
      </c>
      <c r="H59" s="97" t="s">
        <v>153</v>
      </c>
      <c r="I59" s="97" t="s">
        <v>144</v>
      </c>
      <c r="J59" s="98" t="s">
        <v>431</v>
      </c>
      <c r="K59" s="98">
        <v>1</v>
      </c>
      <c r="L59" s="98">
        <v>2018</v>
      </c>
      <c r="M59" s="99">
        <v>4592585</v>
      </c>
      <c r="N59" s="99">
        <v>4592585</v>
      </c>
      <c r="O59" s="99">
        <v>4592585</v>
      </c>
      <c r="P59" s="156">
        <f t="shared" si="3"/>
        <v>1</v>
      </c>
    </row>
    <row r="60" spans="1:16" s="101" customFormat="1" ht="31.5" x14ac:dyDescent="0.2">
      <c r="A60" s="112" t="s">
        <v>167</v>
      </c>
      <c r="B60" s="129" t="s">
        <v>0</v>
      </c>
      <c r="C60" s="129" t="s">
        <v>0</v>
      </c>
      <c r="D60" s="129" t="s">
        <v>0</v>
      </c>
      <c r="E60" s="129" t="s">
        <v>0</v>
      </c>
      <c r="F60" s="129" t="s">
        <v>0</v>
      </c>
      <c r="G60" s="129" t="s">
        <v>0</v>
      </c>
      <c r="H60" s="129" t="s">
        <v>0</v>
      </c>
      <c r="I60" s="129" t="s">
        <v>0</v>
      </c>
      <c r="J60" s="129" t="s">
        <v>0</v>
      </c>
      <c r="K60" s="129" t="s">
        <v>0</v>
      </c>
      <c r="L60" s="129" t="s">
        <v>0</v>
      </c>
      <c r="M60" s="105">
        <f>M61</f>
        <v>982119.5</v>
      </c>
      <c r="N60" s="105">
        <f t="shared" ref="N60:O60" si="24">N61</f>
        <v>982119.5</v>
      </c>
      <c r="O60" s="105">
        <f t="shared" si="24"/>
        <v>982119.5</v>
      </c>
      <c r="P60" s="157">
        <f t="shared" si="3"/>
        <v>1</v>
      </c>
    </row>
    <row r="61" spans="1:16" s="101" customFormat="1" ht="38.25" x14ac:dyDescent="0.2">
      <c r="A61" s="96" t="s">
        <v>168</v>
      </c>
      <c r="B61" s="97" t="s">
        <v>24</v>
      </c>
      <c r="C61" s="97" t="s">
        <v>13</v>
      </c>
      <c r="D61" s="97" t="s">
        <v>151</v>
      </c>
      <c r="E61" s="97" t="s">
        <v>30</v>
      </c>
      <c r="F61" s="97" t="s">
        <v>32</v>
      </c>
      <c r="G61" s="97" t="s">
        <v>34</v>
      </c>
      <c r="H61" s="97" t="s">
        <v>153</v>
      </c>
      <c r="I61" s="97" t="s">
        <v>144</v>
      </c>
      <c r="J61" s="98" t="s">
        <v>425</v>
      </c>
      <c r="K61" s="98" t="s">
        <v>426</v>
      </c>
      <c r="L61" s="98">
        <v>2018</v>
      </c>
      <c r="M61" s="99">
        <v>982119.5</v>
      </c>
      <c r="N61" s="99">
        <v>982119.5</v>
      </c>
      <c r="O61" s="99">
        <v>982119.5</v>
      </c>
      <c r="P61" s="156">
        <f t="shared" si="3"/>
        <v>1</v>
      </c>
    </row>
    <row r="62" spans="1:16" s="101" customFormat="1" ht="15.75" x14ac:dyDescent="0.2">
      <c r="A62" s="112" t="s">
        <v>432</v>
      </c>
      <c r="B62" s="129" t="s">
        <v>0</v>
      </c>
      <c r="C62" s="129" t="s">
        <v>0</v>
      </c>
      <c r="D62" s="129" t="s">
        <v>0</v>
      </c>
      <c r="E62" s="129" t="s">
        <v>0</v>
      </c>
      <c r="F62" s="129" t="s">
        <v>0</v>
      </c>
      <c r="G62" s="129" t="s">
        <v>0</v>
      </c>
      <c r="H62" s="129" t="s">
        <v>0</v>
      </c>
      <c r="I62" s="129" t="s">
        <v>0</v>
      </c>
      <c r="J62" s="129" t="s">
        <v>0</v>
      </c>
      <c r="K62" s="129" t="s">
        <v>0</v>
      </c>
      <c r="L62" s="129" t="s">
        <v>0</v>
      </c>
      <c r="M62" s="105">
        <f>M63</f>
        <v>4472619</v>
      </c>
      <c r="N62" s="105">
        <f t="shared" ref="N62:O62" si="25">N63</f>
        <v>4427892.8099999996</v>
      </c>
      <c r="O62" s="105">
        <f t="shared" si="25"/>
        <v>4427892.8099999996</v>
      </c>
      <c r="P62" s="157">
        <f t="shared" si="3"/>
        <v>0.98999999999999988</v>
      </c>
    </row>
    <row r="63" spans="1:16" s="101" customFormat="1" ht="89.25" x14ac:dyDescent="0.2">
      <c r="A63" s="96" t="s">
        <v>434</v>
      </c>
      <c r="B63" s="97" t="s">
        <v>24</v>
      </c>
      <c r="C63" s="97" t="s">
        <v>13</v>
      </c>
      <c r="D63" s="97" t="s">
        <v>151</v>
      </c>
      <c r="E63" s="97" t="s">
        <v>30</v>
      </c>
      <c r="F63" s="97" t="s">
        <v>32</v>
      </c>
      <c r="G63" s="97" t="s">
        <v>34</v>
      </c>
      <c r="H63" s="97" t="s">
        <v>153</v>
      </c>
      <c r="I63" s="97" t="s">
        <v>144</v>
      </c>
      <c r="J63" s="98" t="s">
        <v>409</v>
      </c>
      <c r="K63" s="98" t="s">
        <v>433</v>
      </c>
      <c r="L63" s="98">
        <v>2018</v>
      </c>
      <c r="M63" s="99">
        <v>4472619</v>
      </c>
      <c r="N63" s="99">
        <v>4427892.8099999996</v>
      </c>
      <c r="O63" s="99">
        <v>4427892.8099999996</v>
      </c>
      <c r="P63" s="156">
        <f t="shared" si="3"/>
        <v>0.98999999999999988</v>
      </c>
    </row>
    <row r="64" spans="1:16" s="101" customFormat="1" ht="15.75" x14ac:dyDescent="0.2">
      <c r="A64" s="96" t="s">
        <v>445</v>
      </c>
      <c r="B64" s="97" t="s">
        <v>24</v>
      </c>
      <c r="C64" s="97" t="s">
        <v>13</v>
      </c>
      <c r="D64" s="97" t="s">
        <v>151</v>
      </c>
      <c r="E64" s="97" t="s">
        <v>30</v>
      </c>
      <c r="F64" s="97" t="s">
        <v>32</v>
      </c>
      <c r="G64" s="97" t="s">
        <v>34</v>
      </c>
      <c r="H64" s="97" t="s">
        <v>153</v>
      </c>
      <c r="I64" s="97" t="s">
        <v>144</v>
      </c>
      <c r="J64" s="98"/>
      <c r="K64" s="98"/>
      <c r="L64" s="98"/>
      <c r="M64" s="99">
        <v>254766</v>
      </c>
      <c r="N64" s="99">
        <v>0</v>
      </c>
      <c r="O64" s="99">
        <v>0</v>
      </c>
      <c r="P64" s="156">
        <f t="shared" si="3"/>
        <v>0</v>
      </c>
    </row>
    <row r="65" spans="1:16" s="101" customFormat="1" ht="47.25" x14ac:dyDescent="0.2">
      <c r="A65" s="112" t="s">
        <v>69</v>
      </c>
      <c r="B65" s="113" t="s">
        <v>70</v>
      </c>
      <c r="C65" s="113" t="s">
        <v>0</v>
      </c>
      <c r="D65" s="113" t="s">
        <v>0</v>
      </c>
      <c r="E65" s="113" t="s">
        <v>0</v>
      </c>
      <c r="F65" s="113" t="s">
        <v>0</v>
      </c>
      <c r="G65" s="113" t="s">
        <v>0</v>
      </c>
      <c r="H65" s="114" t="s">
        <v>0</v>
      </c>
      <c r="I65" s="114" t="s">
        <v>0</v>
      </c>
      <c r="J65" s="114" t="s">
        <v>0</v>
      </c>
      <c r="K65" s="114" t="s">
        <v>0</v>
      </c>
      <c r="L65" s="114" t="s">
        <v>0</v>
      </c>
      <c r="M65" s="105">
        <f>M66</f>
        <v>376657771.71999997</v>
      </c>
      <c r="N65" s="105">
        <f t="shared" ref="N65:O67" si="26">N66</f>
        <v>237835825.94</v>
      </c>
      <c r="O65" s="105">
        <f t="shared" si="26"/>
        <v>246336379.68000001</v>
      </c>
      <c r="P65" s="157">
        <f t="shared" si="3"/>
        <v>0.6540058328150512</v>
      </c>
    </row>
    <row r="66" spans="1:16" s="101" customFormat="1" ht="31.5" x14ac:dyDescent="0.2">
      <c r="A66" s="112" t="s">
        <v>71</v>
      </c>
      <c r="B66" s="113" t="s">
        <v>70</v>
      </c>
      <c r="C66" s="113" t="s">
        <v>28</v>
      </c>
      <c r="D66" s="113" t="s">
        <v>72</v>
      </c>
      <c r="E66" s="113" t="s">
        <v>0</v>
      </c>
      <c r="F66" s="113" t="s">
        <v>0</v>
      </c>
      <c r="G66" s="113" t="s">
        <v>0</v>
      </c>
      <c r="H66" s="114" t="s">
        <v>0</v>
      </c>
      <c r="I66" s="114" t="s">
        <v>0</v>
      </c>
      <c r="J66" s="114" t="s">
        <v>0</v>
      </c>
      <c r="K66" s="114" t="s">
        <v>0</v>
      </c>
      <c r="L66" s="114" t="s">
        <v>0</v>
      </c>
      <c r="M66" s="105">
        <f>M67</f>
        <v>376657771.71999997</v>
      </c>
      <c r="N66" s="105">
        <f t="shared" si="26"/>
        <v>237835825.94</v>
      </c>
      <c r="O66" s="105">
        <f t="shared" si="26"/>
        <v>246336379.68000001</v>
      </c>
      <c r="P66" s="157">
        <f t="shared" si="3"/>
        <v>0.6540058328150512</v>
      </c>
    </row>
    <row r="67" spans="1:16" s="101" customFormat="1" ht="31.5" x14ac:dyDescent="0.2">
      <c r="A67" s="112" t="s">
        <v>288</v>
      </c>
      <c r="B67" s="113" t="s">
        <v>70</v>
      </c>
      <c r="C67" s="113" t="s">
        <v>28</v>
      </c>
      <c r="D67" s="113" t="s">
        <v>72</v>
      </c>
      <c r="E67" s="113" t="s">
        <v>66</v>
      </c>
      <c r="F67" s="113" t="s">
        <v>0</v>
      </c>
      <c r="G67" s="113" t="s">
        <v>0</v>
      </c>
      <c r="H67" s="114" t="s">
        <v>0</v>
      </c>
      <c r="I67" s="114" t="s">
        <v>0</v>
      </c>
      <c r="J67" s="114" t="s">
        <v>0</v>
      </c>
      <c r="K67" s="114" t="s">
        <v>0</v>
      </c>
      <c r="L67" s="114" t="s">
        <v>0</v>
      </c>
      <c r="M67" s="105">
        <f>M68</f>
        <v>376657771.71999997</v>
      </c>
      <c r="N67" s="105">
        <f t="shared" si="26"/>
        <v>237835825.94</v>
      </c>
      <c r="O67" s="105">
        <f t="shared" si="26"/>
        <v>246336379.68000001</v>
      </c>
      <c r="P67" s="157">
        <f t="shared" si="3"/>
        <v>0.6540058328150512</v>
      </c>
    </row>
    <row r="68" spans="1:16" s="101" customFormat="1" ht="15.75" x14ac:dyDescent="0.2">
      <c r="A68" s="115" t="s">
        <v>73</v>
      </c>
      <c r="B68" s="113" t="s">
        <v>70</v>
      </c>
      <c r="C68" s="113" t="s">
        <v>28</v>
      </c>
      <c r="D68" s="113" t="s">
        <v>72</v>
      </c>
      <c r="E68" s="113" t="s">
        <v>66</v>
      </c>
      <c r="F68" s="113" t="s">
        <v>74</v>
      </c>
      <c r="G68" s="113" t="s">
        <v>0</v>
      </c>
      <c r="H68" s="113" t="s">
        <v>0</v>
      </c>
      <c r="I68" s="113" t="s">
        <v>0</v>
      </c>
      <c r="J68" s="113" t="s">
        <v>0</v>
      </c>
      <c r="K68" s="113" t="s">
        <v>0</v>
      </c>
      <c r="L68" s="113" t="s">
        <v>0</v>
      </c>
      <c r="M68" s="105">
        <f>M69+M92</f>
        <v>376657771.71999997</v>
      </c>
      <c r="N68" s="105">
        <f t="shared" ref="N68:O68" si="27">N69+N92</f>
        <v>237835825.94</v>
      </c>
      <c r="O68" s="105">
        <f t="shared" si="27"/>
        <v>246336379.68000001</v>
      </c>
      <c r="P68" s="157">
        <f t="shared" si="3"/>
        <v>0.6540058328150512</v>
      </c>
    </row>
    <row r="69" spans="1:16" s="101" customFormat="1" ht="15.75" x14ac:dyDescent="0.2">
      <c r="A69" s="115" t="s">
        <v>75</v>
      </c>
      <c r="B69" s="113" t="s">
        <v>70</v>
      </c>
      <c r="C69" s="113" t="s">
        <v>28</v>
      </c>
      <c r="D69" s="113" t="s">
        <v>72</v>
      </c>
      <c r="E69" s="113" t="s">
        <v>66</v>
      </c>
      <c r="F69" s="113" t="s">
        <v>74</v>
      </c>
      <c r="G69" s="113" t="s">
        <v>61</v>
      </c>
      <c r="H69" s="113" t="s">
        <v>0</v>
      </c>
      <c r="I69" s="113" t="s">
        <v>0</v>
      </c>
      <c r="J69" s="113" t="s">
        <v>0</v>
      </c>
      <c r="K69" s="113" t="s">
        <v>0</v>
      </c>
      <c r="L69" s="113" t="s">
        <v>0</v>
      </c>
      <c r="M69" s="105">
        <f>M70+M75+M81</f>
        <v>370157771.71999997</v>
      </c>
      <c r="N69" s="105">
        <f t="shared" ref="N69:O69" si="28">N70+N75+N81</f>
        <v>231335825.94</v>
      </c>
      <c r="O69" s="105">
        <f t="shared" si="28"/>
        <v>239836379.68000001</v>
      </c>
      <c r="P69" s="157">
        <f t="shared" si="3"/>
        <v>0.64793014763828993</v>
      </c>
    </row>
    <row r="70" spans="1:16" s="101" customFormat="1" ht="47.25" x14ac:dyDescent="0.2">
      <c r="A70" s="112" t="s">
        <v>152</v>
      </c>
      <c r="B70" s="113" t="s">
        <v>70</v>
      </c>
      <c r="C70" s="113" t="s">
        <v>28</v>
      </c>
      <c r="D70" s="113" t="s">
        <v>72</v>
      </c>
      <c r="E70" s="113" t="s">
        <v>66</v>
      </c>
      <c r="F70" s="113" t="s">
        <v>74</v>
      </c>
      <c r="G70" s="113" t="s">
        <v>61</v>
      </c>
      <c r="H70" s="113" t="s">
        <v>153</v>
      </c>
      <c r="I70" s="114" t="s">
        <v>0</v>
      </c>
      <c r="J70" s="114" t="s">
        <v>0</v>
      </c>
      <c r="K70" s="114" t="s">
        <v>0</v>
      </c>
      <c r="L70" s="114" t="s">
        <v>0</v>
      </c>
      <c r="M70" s="105">
        <f>M71</f>
        <v>8500553.7400000002</v>
      </c>
      <c r="N70" s="105">
        <f t="shared" ref="N70:O72" si="29">N71</f>
        <v>0</v>
      </c>
      <c r="O70" s="105">
        <f t="shared" si="29"/>
        <v>8500553.7400000002</v>
      </c>
      <c r="P70" s="157">
        <f t="shared" si="3"/>
        <v>1</v>
      </c>
    </row>
    <row r="71" spans="1:16" s="101" customFormat="1" ht="63" x14ac:dyDescent="0.2">
      <c r="A71" s="112" t="s">
        <v>290</v>
      </c>
      <c r="B71" s="113" t="s">
        <v>70</v>
      </c>
      <c r="C71" s="113" t="s">
        <v>28</v>
      </c>
      <c r="D71" s="113" t="s">
        <v>72</v>
      </c>
      <c r="E71" s="113" t="s">
        <v>66</v>
      </c>
      <c r="F71" s="113" t="s">
        <v>74</v>
      </c>
      <c r="G71" s="113" t="s">
        <v>61</v>
      </c>
      <c r="H71" s="113" t="s">
        <v>153</v>
      </c>
      <c r="I71" s="113" t="s">
        <v>144</v>
      </c>
      <c r="J71" s="113" t="s">
        <v>0</v>
      </c>
      <c r="K71" s="113" t="s">
        <v>0</v>
      </c>
      <c r="L71" s="113" t="s">
        <v>0</v>
      </c>
      <c r="M71" s="105">
        <f>M72</f>
        <v>8500553.7400000002</v>
      </c>
      <c r="N71" s="105">
        <f t="shared" si="29"/>
        <v>0</v>
      </c>
      <c r="O71" s="105">
        <f t="shared" si="29"/>
        <v>8500553.7400000002</v>
      </c>
      <c r="P71" s="157">
        <f t="shared" si="3"/>
        <v>1</v>
      </c>
    </row>
    <row r="72" spans="1:16" s="101" customFormat="1" ht="15.75" x14ac:dyDescent="0.2">
      <c r="A72" s="112" t="s">
        <v>274</v>
      </c>
      <c r="B72" s="129" t="s">
        <v>0</v>
      </c>
      <c r="C72" s="129" t="s">
        <v>0</v>
      </c>
      <c r="D72" s="129" t="s">
        <v>0</v>
      </c>
      <c r="E72" s="129" t="s">
        <v>0</v>
      </c>
      <c r="F72" s="129" t="s">
        <v>0</v>
      </c>
      <c r="G72" s="129" t="s">
        <v>0</v>
      </c>
      <c r="H72" s="129" t="s">
        <v>0</v>
      </c>
      <c r="I72" s="129" t="s">
        <v>0</v>
      </c>
      <c r="J72" s="129" t="s">
        <v>0</v>
      </c>
      <c r="K72" s="129" t="s">
        <v>0</v>
      </c>
      <c r="L72" s="129" t="s">
        <v>0</v>
      </c>
      <c r="M72" s="105">
        <f>M73</f>
        <v>8500553.7400000002</v>
      </c>
      <c r="N72" s="105">
        <f t="shared" si="29"/>
        <v>0</v>
      </c>
      <c r="O72" s="105">
        <f t="shared" si="29"/>
        <v>8500553.7400000002</v>
      </c>
      <c r="P72" s="157">
        <f t="shared" si="3"/>
        <v>1</v>
      </c>
    </row>
    <row r="73" spans="1:16" s="101" customFormat="1" ht="31.5" x14ac:dyDescent="0.2">
      <c r="A73" s="96" t="s">
        <v>325</v>
      </c>
      <c r="B73" s="97" t="s">
        <v>70</v>
      </c>
      <c r="C73" s="97" t="s">
        <v>28</v>
      </c>
      <c r="D73" s="97" t="s">
        <v>72</v>
      </c>
      <c r="E73" s="97" t="s">
        <v>66</v>
      </c>
      <c r="F73" s="97" t="s">
        <v>74</v>
      </c>
      <c r="G73" s="97" t="s">
        <v>61</v>
      </c>
      <c r="H73" s="97" t="s">
        <v>153</v>
      </c>
      <c r="I73" s="97" t="s">
        <v>144</v>
      </c>
      <c r="J73" s="98" t="s">
        <v>76</v>
      </c>
      <c r="K73" s="98">
        <v>150</v>
      </c>
      <c r="L73" s="98">
        <v>2018</v>
      </c>
      <c r="M73" s="99">
        <v>8500553.7400000002</v>
      </c>
      <c r="N73" s="99">
        <v>0</v>
      </c>
      <c r="O73" s="130">
        <v>8500553.7400000002</v>
      </c>
      <c r="P73" s="156">
        <f t="shared" ref="P73:P136" si="30">O73/M73</f>
        <v>1</v>
      </c>
    </row>
    <row r="74" spans="1:16" s="134" customFormat="1" ht="47.25" x14ac:dyDescent="0.2">
      <c r="A74" s="131" t="s">
        <v>338</v>
      </c>
      <c r="B74" s="132"/>
      <c r="C74" s="132"/>
      <c r="D74" s="132"/>
      <c r="E74" s="132"/>
      <c r="F74" s="132"/>
      <c r="G74" s="132"/>
      <c r="H74" s="132"/>
      <c r="I74" s="132"/>
      <c r="J74" s="133"/>
      <c r="K74" s="133"/>
      <c r="L74" s="133"/>
      <c r="M74" s="130">
        <v>8500553.7400000002</v>
      </c>
      <c r="N74" s="130">
        <v>0</v>
      </c>
      <c r="O74" s="130">
        <v>8500553.7400000002</v>
      </c>
      <c r="P74" s="158">
        <f t="shared" si="30"/>
        <v>1</v>
      </c>
    </row>
    <row r="75" spans="1:16" s="101" customFormat="1" ht="141.75" x14ac:dyDescent="0.2">
      <c r="A75" s="112" t="s">
        <v>453</v>
      </c>
      <c r="B75" s="113" t="s">
        <v>70</v>
      </c>
      <c r="C75" s="113" t="s">
        <v>28</v>
      </c>
      <c r="D75" s="113" t="s">
        <v>72</v>
      </c>
      <c r="E75" s="113" t="s">
        <v>66</v>
      </c>
      <c r="F75" s="113" t="s">
        <v>74</v>
      </c>
      <c r="G75" s="135" t="s">
        <v>61</v>
      </c>
      <c r="H75" s="113">
        <v>18520</v>
      </c>
      <c r="I75" s="114" t="s">
        <v>0</v>
      </c>
      <c r="J75" s="114" t="s">
        <v>0</v>
      </c>
      <c r="K75" s="114" t="s">
        <v>0</v>
      </c>
      <c r="L75" s="136" t="s">
        <v>0</v>
      </c>
      <c r="M75" s="137">
        <f>M76</f>
        <v>120947673.56999999</v>
      </c>
      <c r="N75" s="137">
        <f t="shared" ref="N75:O75" si="31">N76</f>
        <v>82290973.960000008</v>
      </c>
      <c r="O75" s="137">
        <f t="shared" si="31"/>
        <v>82290973.960000008</v>
      </c>
      <c r="P75" s="157">
        <f t="shared" si="30"/>
        <v>0.6803849262331868</v>
      </c>
    </row>
    <row r="76" spans="1:16" s="101" customFormat="1" ht="31.5" x14ac:dyDescent="0.2">
      <c r="A76" s="112" t="s">
        <v>361</v>
      </c>
      <c r="B76" s="113" t="s">
        <v>70</v>
      </c>
      <c r="C76" s="113" t="s">
        <v>28</v>
      </c>
      <c r="D76" s="113" t="s">
        <v>72</v>
      </c>
      <c r="E76" s="113" t="s">
        <v>66</v>
      </c>
      <c r="F76" s="113" t="s">
        <v>74</v>
      </c>
      <c r="G76" s="135" t="s">
        <v>61</v>
      </c>
      <c r="H76" s="113">
        <v>18520</v>
      </c>
      <c r="I76" s="113">
        <v>540</v>
      </c>
      <c r="J76" s="113" t="s">
        <v>0</v>
      </c>
      <c r="K76" s="113" t="s">
        <v>0</v>
      </c>
      <c r="L76" s="138" t="s">
        <v>0</v>
      </c>
      <c r="M76" s="137">
        <f>M78+M80</f>
        <v>120947673.56999999</v>
      </c>
      <c r="N76" s="137">
        <f t="shared" ref="N76:O76" si="32">N78+N80</f>
        <v>82290973.960000008</v>
      </c>
      <c r="O76" s="137">
        <f t="shared" si="32"/>
        <v>82290973.960000008</v>
      </c>
      <c r="P76" s="157">
        <f t="shared" si="30"/>
        <v>0.6803849262331868</v>
      </c>
    </row>
    <row r="77" spans="1:16" s="101" customFormat="1" ht="15.75" x14ac:dyDescent="0.2">
      <c r="A77" s="112" t="s">
        <v>174</v>
      </c>
      <c r="B77" s="129" t="s">
        <v>0</v>
      </c>
      <c r="C77" s="129" t="s">
        <v>0</v>
      </c>
      <c r="D77" s="129" t="s">
        <v>0</v>
      </c>
      <c r="E77" s="129" t="s">
        <v>0</v>
      </c>
      <c r="F77" s="129" t="s">
        <v>0</v>
      </c>
      <c r="G77" s="129" t="s">
        <v>0</v>
      </c>
      <c r="H77" s="129" t="s">
        <v>0</v>
      </c>
      <c r="I77" s="129" t="s">
        <v>0</v>
      </c>
      <c r="J77" s="129" t="s">
        <v>0</v>
      </c>
      <c r="K77" s="129" t="s">
        <v>0</v>
      </c>
      <c r="L77" s="139" t="s">
        <v>0</v>
      </c>
      <c r="M77" s="137">
        <f>M78</f>
        <v>56009476.799999997</v>
      </c>
      <c r="N77" s="137">
        <f t="shared" ref="N77:O77" si="33">N78</f>
        <v>20366899.289999999</v>
      </c>
      <c r="O77" s="137">
        <f t="shared" si="33"/>
        <v>20366899.289999999</v>
      </c>
      <c r="P77" s="157">
        <f t="shared" si="30"/>
        <v>0.36363309306970709</v>
      </c>
    </row>
    <row r="78" spans="1:16" s="101" customFormat="1" ht="31.5" x14ac:dyDescent="0.2">
      <c r="A78" s="96" t="s">
        <v>370</v>
      </c>
      <c r="B78" s="97" t="s">
        <v>70</v>
      </c>
      <c r="C78" s="97" t="s">
        <v>28</v>
      </c>
      <c r="D78" s="97" t="s">
        <v>72</v>
      </c>
      <c r="E78" s="97" t="s">
        <v>66</v>
      </c>
      <c r="F78" s="97" t="s">
        <v>74</v>
      </c>
      <c r="G78" s="97" t="s">
        <v>61</v>
      </c>
      <c r="H78" s="97">
        <v>18520</v>
      </c>
      <c r="I78" s="97">
        <v>540</v>
      </c>
      <c r="J78" s="98" t="s">
        <v>76</v>
      </c>
      <c r="K78" s="98">
        <v>135</v>
      </c>
      <c r="L78" s="140">
        <v>2019</v>
      </c>
      <c r="M78" s="141">
        <f>93349130+10153510-10153510-33349130-3990523.2</f>
        <v>56009476.799999997</v>
      </c>
      <c r="N78" s="141">
        <v>20366899.289999999</v>
      </c>
      <c r="O78" s="141">
        <v>20366899.289999999</v>
      </c>
      <c r="P78" s="156">
        <f t="shared" si="30"/>
        <v>0.36363309306970709</v>
      </c>
    </row>
    <row r="79" spans="1:16" s="101" customFormat="1" ht="31.5" x14ac:dyDescent="0.2">
      <c r="A79" s="112" t="s">
        <v>176</v>
      </c>
      <c r="B79" s="129" t="s">
        <v>0</v>
      </c>
      <c r="C79" s="129" t="s">
        <v>0</v>
      </c>
      <c r="D79" s="129" t="s">
        <v>0</v>
      </c>
      <c r="E79" s="129" t="s">
        <v>0</v>
      </c>
      <c r="F79" s="129" t="s">
        <v>0</v>
      </c>
      <c r="G79" s="129" t="s">
        <v>0</v>
      </c>
      <c r="H79" s="129" t="s">
        <v>0</v>
      </c>
      <c r="I79" s="129" t="s">
        <v>0</v>
      </c>
      <c r="J79" s="129" t="s">
        <v>0</v>
      </c>
      <c r="K79" s="129" t="s">
        <v>0</v>
      </c>
      <c r="L79" s="129" t="s">
        <v>0</v>
      </c>
      <c r="M79" s="142">
        <f>M80</f>
        <v>64938196.769999996</v>
      </c>
      <c r="N79" s="142">
        <f t="shared" ref="N79:O79" si="34">N80</f>
        <v>61924074.670000002</v>
      </c>
      <c r="O79" s="142">
        <f t="shared" si="34"/>
        <v>61924074.670000002</v>
      </c>
      <c r="P79" s="157">
        <f t="shared" si="30"/>
        <v>0.9535847582790834</v>
      </c>
    </row>
    <row r="80" spans="1:16" s="101" customFormat="1" ht="47.25" x14ac:dyDescent="0.2">
      <c r="A80" s="96" t="s">
        <v>177</v>
      </c>
      <c r="B80" s="97" t="s">
        <v>70</v>
      </c>
      <c r="C80" s="97" t="s">
        <v>28</v>
      </c>
      <c r="D80" s="97" t="s">
        <v>72</v>
      </c>
      <c r="E80" s="97" t="s">
        <v>66</v>
      </c>
      <c r="F80" s="97" t="s">
        <v>74</v>
      </c>
      <c r="G80" s="97" t="s">
        <v>61</v>
      </c>
      <c r="H80" s="97">
        <v>18520</v>
      </c>
      <c r="I80" s="97">
        <v>540</v>
      </c>
      <c r="J80" s="98" t="s">
        <v>76</v>
      </c>
      <c r="K80" s="98" t="s">
        <v>178</v>
      </c>
      <c r="L80" s="140">
        <v>2018</v>
      </c>
      <c r="M80" s="141">
        <f>72314482.77-7376286</f>
        <v>64938196.769999996</v>
      </c>
      <c r="N80" s="141">
        <v>61924074.670000002</v>
      </c>
      <c r="O80" s="141">
        <v>61924074.670000002</v>
      </c>
      <c r="P80" s="156">
        <f t="shared" si="30"/>
        <v>0.9535847582790834</v>
      </c>
    </row>
    <row r="81" spans="1:16" s="101" customFormat="1" ht="126" x14ac:dyDescent="0.2">
      <c r="A81" s="112" t="s">
        <v>449</v>
      </c>
      <c r="B81" s="113" t="s">
        <v>70</v>
      </c>
      <c r="C81" s="113" t="s">
        <v>28</v>
      </c>
      <c r="D81" s="113" t="s">
        <v>72</v>
      </c>
      <c r="E81" s="113" t="s">
        <v>66</v>
      </c>
      <c r="F81" s="113" t="s">
        <v>74</v>
      </c>
      <c r="G81" s="135" t="s">
        <v>61</v>
      </c>
      <c r="H81" s="113" t="s">
        <v>450</v>
      </c>
      <c r="I81" s="114" t="s">
        <v>0</v>
      </c>
      <c r="J81" s="114" t="s">
        <v>0</v>
      </c>
      <c r="K81" s="114" t="s">
        <v>0</v>
      </c>
      <c r="L81" s="136" t="s">
        <v>0</v>
      </c>
      <c r="M81" s="137">
        <f>M82</f>
        <v>240709544.41</v>
      </c>
      <c r="N81" s="137">
        <f t="shared" ref="N81:O81" si="35">N82</f>
        <v>149044851.97999999</v>
      </c>
      <c r="O81" s="137">
        <f t="shared" si="35"/>
        <v>149044851.97999999</v>
      </c>
      <c r="P81" s="157">
        <f t="shared" si="30"/>
        <v>0.6191896226853898</v>
      </c>
    </row>
    <row r="82" spans="1:16" s="101" customFormat="1" ht="31.5" x14ac:dyDescent="0.2">
      <c r="A82" s="112" t="s">
        <v>361</v>
      </c>
      <c r="B82" s="113" t="s">
        <v>70</v>
      </c>
      <c r="C82" s="113" t="s">
        <v>28</v>
      </c>
      <c r="D82" s="113" t="s">
        <v>72</v>
      </c>
      <c r="E82" s="113" t="s">
        <v>66</v>
      </c>
      <c r="F82" s="113" t="s">
        <v>74</v>
      </c>
      <c r="G82" s="135" t="s">
        <v>61</v>
      </c>
      <c r="H82" s="113" t="s">
        <v>450</v>
      </c>
      <c r="I82" s="113">
        <v>540</v>
      </c>
      <c r="J82" s="113" t="s">
        <v>0</v>
      </c>
      <c r="K82" s="113" t="s">
        <v>0</v>
      </c>
      <c r="L82" s="138" t="s">
        <v>0</v>
      </c>
      <c r="M82" s="137">
        <f>M84+M86+M87+M89+M91</f>
        <v>240709544.41</v>
      </c>
      <c r="N82" s="137">
        <f t="shared" ref="N82:O82" si="36">N84+N86+N87+N89+N91</f>
        <v>149044851.97999999</v>
      </c>
      <c r="O82" s="137">
        <f t="shared" si="36"/>
        <v>149044851.97999999</v>
      </c>
      <c r="P82" s="157">
        <f t="shared" si="30"/>
        <v>0.6191896226853898</v>
      </c>
    </row>
    <row r="83" spans="1:16" s="101" customFormat="1" ht="15.75" x14ac:dyDescent="0.2">
      <c r="A83" s="112" t="s">
        <v>230</v>
      </c>
      <c r="B83" s="129" t="s">
        <v>0</v>
      </c>
      <c r="C83" s="129" t="s">
        <v>0</v>
      </c>
      <c r="D83" s="129" t="s">
        <v>0</v>
      </c>
      <c r="E83" s="129" t="s">
        <v>0</v>
      </c>
      <c r="F83" s="129" t="s">
        <v>0</v>
      </c>
      <c r="G83" s="129" t="s">
        <v>0</v>
      </c>
      <c r="H83" s="129" t="s">
        <v>0</v>
      </c>
      <c r="I83" s="129" t="s">
        <v>0</v>
      </c>
      <c r="J83" s="129" t="s">
        <v>0</v>
      </c>
      <c r="K83" s="129" t="s">
        <v>0</v>
      </c>
      <c r="L83" s="139" t="s">
        <v>0</v>
      </c>
      <c r="M83" s="137">
        <f>M84</f>
        <v>70011846</v>
      </c>
      <c r="N83" s="137">
        <f t="shared" ref="N83:O83" si="37">N84</f>
        <v>48067877.119999997</v>
      </c>
      <c r="O83" s="137">
        <f t="shared" si="37"/>
        <v>48067877.119999997</v>
      </c>
      <c r="P83" s="157">
        <f t="shared" si="30"/>
        <v>0.68656777197390273</v>
      </c>
    </row>
    <row r="84" spans="1:16" s="101" customFormat="1" ht="78.75" x14ac:dyDescent="0.2">
      <c r="A84" s="96" t="s">
        <v>368</v>
      </c>
      <c r="B84" s="97" t="s">
        <v>70</v>
      </c>
      <c r="C84" s="97" t="s">
        <v>28</v>
      </c>
      <c r="D84" s="97" t="s">
        <v>72</v>
      </c>
      <c r="E84" s="97" t="s">
        <v>66</v>
      </c>
      <c r="F84" s="97" t="s">
        <v>74</v>
      </c>
      <c r="G84" s="97" t="s">
        <v>61</v>
      </c>
      <c r="H84" s="97" t="s">
        <v>450</v>
      </c>
      <c r="I84" s="97">
        <v>540</v>
      </c>
      <c r="J84" s="98" t="s">
        <v>76</v>
      </c>
      <c r="K84" s="98">
        <v>135</v>
      </c>
      <c r="L84" s="140">
        <v>2019</v>
      </c>
      <c r="M84" s="141">
        <f>59332072.88+10679773.12</f>
        <v>70011846</v>
      </c>
      <c r="N84" s="141">
        <v>48067877.119999997</v>
      </c>
      <c r="O84" s="141">
        <v>48067877.119999997</v>
      </c>
      <c r="P84" s="156">
        <f t="shared" si="30"/>
        <v>0.68656777197390273</v>
      </c>
    </row>
    <row r="85" spans="1:16" s="101" customFormat="1" ht="15.75" x14ac:dyDescent="0.2">
      <c r="A85" s="112" t="s">
        <v>174</v>
      </c>
      <c r="B85" s="129" t="s">
        <v>0</v>
      </c>
      <c r="C85" s="129" t="s">
        <v>0</v>
      </c>
      <c r="D85" s="129" t="s">
        <v>0</v>
      </c>
      <c r="E85" s="129" t="s">
        <v>0</v>
      </c>
      <c r="F85" s="129" t="s">
        <v>0</v>
      </c>
      <c r="G85" s="129" t="s">
        <v>0</v>
      </c>
      <c r="H85" s="129" t="s">
        <v>0</v>
      </c>
      <c r="I85" s="129" t="s">
        <v>0</v>
      </c>
      <c r="J85" s="129" t="s">
        <v>0</v>
      </c>
      <c r="K85" s="129" t="s">
        <v>0</v>
      </c>
      <c r="L85" s="139" t="s">
        <v>0</v>
      </c>
      <c r="M85" s="137">
        <f>M86+M87</f>
        <v>77050155.199999988</v>
      </c>
      <c r="N85" s="137">
        <f t="shared" ref="N85:O85" si="38">N86+N87</f>
        <v>45159709.299999997</v>
      </c>
      <c r="O85" s="137">
        <f t="shared" si="38"/>
        <v>45159709.299999997</v>
      </c>
      <c r="P85" s="157">
        <f t="shared" si="30"/>
        <v>0.58610796023419309</v>
      </c>
    </row>
    <row r="86" spans="1:16" s="101" customFormat="1" ht="31.5" x14ac:dyDescent="0.2">
      <c r="A86" s="96" t="s">
        <v>369</v>
      </c>
      <c r="B86" s="97" t="s">
        <v>70</v>
      </c>
      <c r="C86" s="97" t="s">
        <v>28</v>
      </c>
      <c r="D86" s="97" t="s">
        <v>72</v>
      </c>
      <c r="E86" s="97" t="s">
        <v>66</v>
      </c>
      <c r="F86" s="97" t="s">
        <v>74</v>
      </c>
      <c r="G86" s="97" t="s">
        <v>61</v>
      </c>
      <c r="H86" s="97" t="s">
        <v>450</v>
      </c>
      <c r="I86" s="97">
        <v>540</v>
      </c>
      <c r="J86" s="98" t="s">
        <v>76</v>
      </c>
      <c r="K86" s="98">
        <v>200</v>
      </c>
      <c r="L86" s="140">
        <v>2019</v>
      </c>
      <c r="M86" s="141">
        <v>44254001.509999998</v>
      </c>
      <c r="N86" s="141">
        <v>15094771.449999999</v>
      </c>
      <c r="O86" s="141">
        <v>15094771.449999999</v>
      </c>
      <c r="P86" s="156">
        <f t="shared" si="30"/>
        <v>0.3410939335415592</v>
      </c>
    </row>
    <row r="87" spans="1:16" s="101" customFormat="1" ht="63" x14ac:dyDescent="0.2">
      <c r="A87" s="96" t="s">
        <v>371</v>
      </c>
      <c r="B87" s="97" t="s">
        <v>70</v>
      </c>
      <c r="C87" s="97" t="s">
        <v>28</v>
      </c>
      <c r="D87" s="97" t="s">
        <v>72</v>
      </c>
      <c r="E87" s="97" t="s">
        <v>66</v>
      </c>
      <c r="F87" s="97" t="s">
        <v>74</v>
      </c>
      <c r="G87" s="97" t="s">
        <v>61</v>
      </c>
      <c r="H87" s="97" t="s">
        <v>450</v>
      </c>
      <c r="I87" s="97">
        <v>540</v>
      </c>
      <c r="J87" s="98" t="s">
        <v>76</v>
      </c>
      <c r="K87" s="98">
        <v>55</v>
      </c>
      <c r="L87" s="140">
        <v>2019</v>
      </c>
      <c r="M87" s="141">
        <f>27793350.59+5002803.1</f>
        <v>32796153.689999998</v>
      </c>
      <c r="N87" s="141">
        <v>30064937.850000001</v>
      </c>
      <c r="O87" s="141">
        <v>30064937.850000001</v>
      </c>
      <c r="P87" s="156">
        <f t="shared" si="30"/>
        <v>0.91672145868639521</v>
      </c>
    </row>
    <row r="88" spans="1:16" s="101" customFormat="1" ht="15.75" x14ac:dyDescent="0.2">
      <c r="A88" s="112" t="s">
        <v>179</v>
      </c>
      <c r="B88" s="129" t="s">
        <v>0</v>
      </c>
      <c r="C88" s="129" t="s">
        <v>0</v>
      </c>
      <c r="D88" s="129" t="s">
        <v>0</v>
      </c>
      <c r="E88" s="129" t="s">
        <v>0</v>
      </c>
      <c r="F88" s="129" t="s">
        <v>0</v>
      </c>
      <c r="G88" s="129" t="s">
        <v>0</v>
      </c>
      <c r="H88" s="129" t="s">
        <v>0</v>
      </c>
      <c r="I88" s="129" t="s">
        <v>0</v>
      </c>
      <c r="J88" s="129" t="s">
        <v>0</v>
      </c>
      <c r="K88" s="129" t="s">
        <v>0</v>
      </c>
      <c r="L88" s="139" t="s">
        <v>0</v>
      </c>
      <c r="M88" s="137">
        <f>M89</f>
        <v>37999999.990000002</v>
      </c>
      <c r="N88" s="137">
        <f t="shared" ref="N88:O88" si="39">N89</f>
        <v>36817255.82</v>
      </c>
      <c r="O88" s="137">
        <f t="shared" si="39"/>
        <v>36817255.82</v>
      </c>
      <c r="P88" s="157">
        <f t="shared" si="30"/>
        <v>0.96887515341286179</v>
      </c>
    </row>
    <row r="89" spans="1:16" s="101" customFormat="1" ht="47.25" x14ac:dyDescent="0.2">
      <c r="A89" s="96" t="s">
        <v>362</v>
      </c>
      <c r="B89" s="97" t="s">
        <v>70</v>
      </c>
      <c r="C89" s="97" t="s">
        <v>28</v>
      </c>
      <c r="D89" s="97" t="s">
        <v>72</v>
      </c>
      <c r="E89" s="97" t="s">
        <v>66</v>
      </c>
      <c r="F89" s="97" t="s">
        <v>74</v>
      </c>
      <c r="G89" s="97" t="s">
        <v>61</v>
      </c>
      <c r="H89" s="97" t="s">
        <v>450</v>
      </c>
      <c r="I89" s="97">
        <v>540</v>
      </c>
      <c r="J89" s="98" t="s">
        <v>76</v>
      </c>
      <c r="K89" s="98">
        <v>35</v>
      </c>
      <c r="L89" s="140">
        <v>2018</v>
      </c>
      <c r="M89" s="141">
        <f>37693140.5+306859.49</f>
        <v>37999999.990000002</v>
      </c>
      <c r="N89" s="141">
        <v>36817255.82</v>
      </c>
      <c r="O89" s="141">
        <v>36817255.82</v>
      </c>
      <c r="P89" s="156">
        <f t="shared" si="30"/>
        <v>0.96887515341286179</v>
      </c>
    </row>
    <row r="90" spans="1:16" s="101" customFormat="1" ht="15.75" x14ac:dyDescent="0.2">
      <c r="A90" s="112" t="s">
        <v>194</v>
      </c>
      <c r="B90" s="113"/>
      <c r="C90" s="113"/>
      <c r="D90" s="113"/>
      <c r="E90" s="113"/>
      <c r="F90" s="113"/>
      <c r="G90" s="135"/>
      <c r="H90" s="113"/>
      <c r="I90" s="97"/>
      <c r="J90" s="113"/>
      <c r="K90" s="113"/>
      <c r="L90" s="113"/>
      <c r="M90" s="105">
        <f>M91</f>
        <v>55647543.219999999</v>
      </c>
      <c r="N90" s="105">
        <f t="shared" ref="N90:O90" si="40">N91</f>
        <v>19000009.739999998</v>
      </c>
      <c r="O90" s="105">
        <f t="shared" si="40"/>
        <v>19000009.739999998</v>
      </c>
      <c r="P90" s="157">
        <f t="shared" si="30"/>
        <v>0.34143483504535566</v>
      </c>
    </row>
    <row r="91" spans="1:16" s="101" customFormat="1" ht="47.25" x14ac:dyDescent="0.2">
      <c r="A91" s="96" t="s">
        <v>354</v>
      </c>
      <c r="B91" s="97" t="s">
        <v>70</v>
      </c>
      <c r="C91" s="97" t="s">
        <v>28</v>
      </c>
      <c r="D91" s="97" t="s">
        <v>72</v>
      </c>
      <c r="E91" s="97" t="s">
        <v>66</v>
      </c>
      <c r="F91" s="97" t="s">
        <v>74</v>
      </c>
      <c r="G91" s="143" t="s">
        <v>61</v>
      </c>
      <c r="H91" s="97" t="s">
        <v>450</v>
      </c>
      <c r="I91" s="97">
        <v>540</v>
      </c>
      <c r="J91" s="97" t="s">
        <v>76</v>
      </c>
      <c r="K91" s="97">
        <v>135</v>
      </c>
      <c r="L91" s="97">
        <v>2019</v>
      </c>
      <c r="M91" s="99">
        <v>55647543.219999999</v>
      </c>
      <c r="N91" s="99">
        <v>19000009.739999998</v>
      </c>
      <c r="O91" s="99">
        <v>19000009.739999998</v>
      </c>
      <c r="P91" s="156">
        <f t="shared" si="30"/>
        <v>0.34143483504535566</v>
      </c>
    </row>
    <row r="92" spans="1:16" s="101" customFormat="1" ht="15.75" x14ac:dyDescent="0.2">
      <c r="A92" s="115" t="s">
        <v>78</v>
      </c>
      <c r="B92" s="113" t="s">
        <v>70</v>
      </c>
      <c r="C92" s="113" t="s">
        <v>28</v>
      </c>
      <c r="D92" s="113" t="s">
        <v>72</v>
      </c>
      <c r="E92" s="113" t="s">
        <v>66</v>
      </c>
      <c r="F92" s="113" t="s">
        <v>74</v>
      </c>
      <c r="G92" s="113" t="s">
        <v>34</v>
      </c>
      <c r="H92" s="113" t="s">
        <v>0</v>
      </c>
      <c r="I92" s="113" t="s">
        <v>0</v>
      </c>
      <c r="J92" s="113" t="s">
        <v>0</v>
      </c>
      <c r="K92" s="113" t="s">
        <v>0</v>
      </c>
      <c r="L92" s="138" t="s">
        <v>0</v>
      </c>
      <c r="M92" s="137">
        <f>M93</f>
        <v>6500000</v>
      </c>
      <c r="N92" s="137">
        <f t="shared" ref="N92:O95" si="41">N93</f>
        <v>6500000</v>
      </c>
      <c r="O92" s="137">
        <f t="shared" si="41"/>
        <v>6500000</v>
      </c>
      <c r="P92" s="157">
        <f t="shared" si="30"/>
        <v>1</v>
      </c>
    </row>
    <row r="93" spans="1:16" s="101" customFormat="1" ht="47.25" x14ac:dyDescent="0.2">
      <c r="A93" s="112" t="s">
        <v>152</v>
      </c>
      <c r="B93" s="113" t="s">
        <v>70</v>
      </c>
      <c r="C93" s="113" t="s">
        <v>28</v>
      </c>
      <c r="D93" s="113" t="s">
        <v>72</v>
      </c>
      <c r="E93" s="113" t="s">
        <v>66</v>
      </c>
      <c r="F93" s="113" t="s">
        <v>74</v>
      </c>
      <c r="G93" s="113" t="s">
        <v>34</v>
      </c>
      <c r="H93" s="113" t="s">
        <v>153</v>
      </c>
      <c r="I93" s="114" t="s">
        <v>0</v>
      </c>
      <c r="J93" s="114" t="s">
        <v>0</v>
      </c>
      <c r="K93" s="114" t="s">
        <v>0</v>
      </c>
      <c r="L93" s="136" t="s">
        <v>0</v>
      </c>
      <c r="M93" s="137">
        <f>M94</f>
        <v>6500000</v>
      </c>
      <c r="N93" s="137">
        <f t="shared" si="41"/>
        <v>6500000</v>
      </c>
      <c r="O93" s="137">
        <f t="shared" si="41"/>
        <v>6500000</v>
      </c>
      <c r="P93" s="157">
        <f t="shared" si="30"/>
        <v>1</v>
      </c>
    </row>
    <row r="94" spans="1:16" s="101" customFormat="1" ht="63" x14ac:dyDescent="0.2">
      <c r="A94" s="112" t="s">
        <v>290</v>
      </c>
      <c r="B94" s="113" t="s">
        <v>70</v>
      </c>
      <c r="C94" s="113" t="s">
        <v>28</v>
      </c>
      <c r="D94" s="113" t="s">
        <v>72</v>
      </c>
      <c r="E94" s="113" t="s">
        <v>66</v>
      </c>
      <c r="F94" s="113" t="s">
        <v>74</v>
      </c>
      <c r="G94" s="113" t="s">
        <v>34</v>
      </c>
      <c r="H94" s="113" t="s">
        <v>153</v>
      </c>
      <c r="I94" s="113" t="s">
        <v>144</v>
      </c>
      <c r="J94" s="113" t="s">
        <v>0</v>
      </c>
      <c r="K94" s="113" t="s">
        <v>0</v>
      </c>
      <c r="L94" s="138" t="s">
        <v>0</v>
      </c>
      <c r="M94" s="137">
        <f>M95</f>
        <v>6500000</v>
      </c>
      <c r="N94" s="137">
        <f t="shared" si="41"/>
        <v>6500000</v>
      </c>
      <c r="O94" s="137">
        <f t="shared" si="41"/>
        <v>6500000</v>
      </c>
      <c r="P94" s="157">
        <f t="shared" si="30"/>
        <v>1</v>
      </c>
    </row>
    <row r="95" spans="1:16" s="101" customFormat="1" ht="15.75" x14ac:dyDescent="0.2">
      <c r="A95" s="112" t="s">
        <v>180</v>
      </c>
      <c r="B95" s="129" t="s">
        <v>0</v>
      </c>
      <c r="C95" s="129" t="s">
        <v>0</v>
      </c>
      <c r="D95" s="129" t="s">
        <v>0</v>
      </c>
      <c r="E95" s="129" t="s">
        <v>0</v>
      </c>
      <c r="F95" s="129" t="s">
        <v>0</v>
      </c>
      <c r="G95" s="129" t="s">
        <v>0</v>
      </c>
      <c r="H95" s="129" t="s">
        <v>0</v>
      </c>
      <c r="I95" s="129" t="s">
        <v>0</v>
      </c>
      <c r="J95" s="129" t="s">
        <v>0</v>
      </c>
      <c r="K95" s="129" t="s">
        <v>0</v>
      </c>
      <c r="L95" s="139" t="s">
        <v>0</v>
      </c>
      <c r="M95" s="137">
        <f>M96</f>
        <v>6500000</v>
      </c>
      <c r="N95" s="137">
        <f t="shared" si="41"/>
        <v>6500000</v>
      </c>
      <c r="O95" s="137">
        <f t="shared" si="41"/>
        <v>6500000</v>
      </c>
      <c r="P95" s="157">
        <f t="shared" si="30"/>
        <v>1</v>
      </c>
    </row>
    <row r="96" spans="1:16" s="101" customFormat="1" ht="31.5" x14ac:dyDescent="0.2">
      <c r="A96" s="96" t="s">
        <v>181</v>
      </c>
      <c r="B96" s="97" t="s">
        <v>70</v>
      </c>
      <c r="C96" s="97" t="s">
        <v>28</v>
      </c>
      <c r="D96" s="97" t="s">
        <v>72</v>
      </c>
      <c r="E96" s="97" t="s">
        <v>66</v>
      </c>
      <c r="F96" s="97" t="s">
        <v>74</v>
      </c>
      <c r="G96" s="97" t="s">
        <v>34</v>
      </c>
      <c r="H96" s="97" t="s">
        <v>153</v>
      </c>
      <c r="I96" s="97" t="s">
        <v>144</v>
      </c>
      <c r="J96" s="98" t="s">
        <v>392</v>
      </c>
      <c r="K96" s="98">
        <v>330</v>
      </c>
      <c r="L96" s="140">
        <v>2019</v>
      </c>
      <c r="M96" s="141">
        <f>40000000-33500000</f>
        <v>6500000</v>
      </c>
      <c r="N96" s="141">
        <f>40000000-33500000</f>
        <v>6500000</v>
      </c>
      <c r="O96" s="141">
        <f>40000000-33500000</f>
        <v>6500000</v>
      </c>
      <c r="P96" s="156">
        <f t="shared" si="30"/>
        <v>1</v>
      </c>
    </row>
    <row r="97" spans="1:16" s="101" customFormat="1" ht="78.75" x14ac:dyDescent="0.2">
      <c r="A97" s="112" t="s">
        <v>79</v>
      </c>
      <c r="B97" s="113" t="s">
        <v>80</v>
      </c>
      <c r="C97" s="113" t="s">
        <v>0</v>
      </c>
      <c r="D97" s="113" t="s">
        <v>0</v>
      </c>
      <c r="E97" s="113" t="s">
        <v>0</v>
      </c>
      <c r="F97" s="113" t="s">
        <v>0</v>
      </c>
      <c r="G97" s="113" t="s">
        <v>0</v>
      </c>
      <c r="H97" s="114" t="s">
        <v>0</v>
      </c>
      <c r="I97" s="114" t="s">
        <v>0</v>
      </c>
      <c r="J97" s="114" t="s">
        <v>0</v>
      </c>
      <c r="K97" s="114" t="s">
        <v>0</v>
      </c>
      <c r="L97" s="136" t="s">
        <v>0</v>
      </c>
      <c r="M97" s="137">
        <f>M98</f>
        <v>245009512.03</v>
      </c>
      <c r="N97" s="137">
        <f t="shared" ref="N97:O97" si="42">N98</f>
        <v>234226403.56</v>
      </c>
      <c r="O97" s="137">
        <f t="shared" si="42"/>
        <v>234226403.56</v>
      </c>
      <c r="P97" s="157">
        <f t="shared" si="30"/>
        <v>0.95598902107653816</v>
      </c>
    </row>
    <row r="98" spans="1:16" s="101" customFormat="1" ht="47.25" x14ac:dyDescent="0.2">
      <c r="A98" s="112" t="s">
        <v>87</v>
      </c>
      <c r="B98" s="113" t="s">
        <v>80</v>
      </c>
      <c r="C98" s="113" t="s">
        <v>21</v>
      </c>
      <c r="D98" s="113" t="s">
        <v>0</v>
      </c>
      <c r="E98" s="113" t="s">
        <v>0</v>
      </c>
      <c r="F98" s="113" t="s">
        <v>0</v>
      </c>
      <c r="G98" s="113" t="s">
        <v>0</v>
      </c>
      <c r="H98" s="114" t="s">
        <v>0</v>
      </c>
      <c r="I98" s="114" t="s">
        <v>0</v>
      </c>
      <c r="J98" s="114" t="s">
        <v>0</v>
      </c>
      <c r="K98" s="114" t="s">
        <v>0</v>
      </c>
      <c r="L98" s="136" t="s">
        <v>0</v>
      </c>
      <c r="M98" s="137">
        <f>M99+M132+M150+M158+M167</f>
        <v>245009512.03</v>
      </c>
      <c r="N98" s="137">
        <f t="shared" ref="N98:O98" si="43">N99+N132+N150+N158+N167</f>
        <v>234226403.56</v>
      </c>
      <c r="O98" s="137">
        <f t="shared" si="43"/>
        <v>234226403.56</v>
      </c>
      <c r="P98" s="157">
        <f t="shared" si="30"/>
        <v>0.95598902107653816</v>
      </c>
    </row>
    <row r="99" spans="1:16" s="101" customFormat="1" ht="31.5" x14ac:dyDescent="0.2">
      <c r="A99" s="112" t="s">
        <v>182</v>
      </c>
      <c r="B99" s="113" t="s">
        <v>80</v>
      </c>
      <c r="C99" s="113" t="s">
        <v>21</v>
      </c>
      <c r="D99" s="113" t="s">
        <v>183</v>
      </c>
      <c r="E99" s="113" t="s">
        <v>0</v>
      </c>
      <c r="F99" s="113" t="s">
        <v>0</v>
      </c>
      <c r="G99" s="113" t="s">
        <v>0</v>
      </c>
      <c r="H99" s="114" t="s">
        <v>0</v>
      </c>
      <c r="I99" s="114" t="s">
        <v>0</v>
      </c>
      <c r="J99" s="114" t="s">
        <v>0</v>
      </c>
      <c r="K99" s="114" t="s">
        <v>0</v>
      </c>
      <c r="L99" s="136" t="s">
        <v>0</v>
      </c>
      <c r="M99" s="137">
        <f>M100</f>
        <v>26880780.870000001</v>
      </c>
      <c r="N99" s="137">
        <f t="shared" ref="N99:O101" si="44">N100</f>
        <v>25583221.630000003</v>
      </c>
      <c r="O99" s="137">
        <f t="shared" si="44"/>
        <v>25583221.630000003</v>
      </c>
      <c r="P99" s="157">
        <f t="shared" si="30"/>
        <v>0.95172910912539277</v>
      </c>
    </row>
    <row r="100" spans="1:16" s="101" customFormat="1" ht="31.5" x14ac:dyDescent="0.2">
      <c r="A100" s="112" t="s">
        <v>288</v>
      </c>
      <c r="B100" s="113" t="s">
        <v>80</v>
      </c>
      <c r="C100" s="113" t="s">
        <v>21</v>
      </c>
      <c r="D100" s="113" t="s">
        <v>183</v>
      </c>
      <c r="E100" s="113" t="s">
        <v>66</v>
      </c>
      <c r="F100" s="113" t="s">
        <v>0</v>
      </c>
      <c r="G100" s="113" t="s">
        <v>0</v>
      </c>
      <c r="H100" s="114" t="s">
        <v>0</v>
      </c>
      <c r="I100" s="114" t="s">
        <v>0</v>
      </c>
      <c r="J100" s="114" t="s">
        <v>0</v>
      </c>
      <c r="K100" s="114" t="s">
        <v>0</v>
      </c>
      <c r="L100" s="136" t="s">
        <v>0</v>
      </c>
      <c r="M100" s="137">
        <f>M101</f>
        <v>26880780.870000001</v>
      </c>
      <c r="N100" s="137">
        <f t="shared" si="44"/>
        <v>25583221.630000003</v>
      </c>
      <c r="O100" s="137">
        <f t="shared" si="44"/>
        <v>25583221.630000003</v>
      </c>
      <c r="P100" s="157">
        <f t="shared" si="30"/>
        <v>0.95172910912539277</v>
      </c>
    </row>
    <row r="101" spans="1:16" s="101" customFormat="1" ht="31.5" x14ac:dyDescent="0.2">
      <c r="A101" s="115" t="s">
        <v>31</v>
      </c>
      <c r="B101" s="113" t="s">
        <v>80</v>
      </c>
      <c r="C101" s="113" t="s">
        <v>21</v>
      </c>
      <c r="D101" s="113" t="s">
        <v>183</v>
      </c>
      <c r="E101" s="113" t="s">
        <v>66</v>
      </c>
      <c r="F101" s="113" t="s">
        <v>32</v>
      </c>
      <c r="G101" s="113" t="s">
        <v>0</v>
      </c>
      <c r="H101" s="113" t="s">
        <v>0</v>
      </c>
      <c r="I101" s="113" t="s">
        <v>0</v>
      </c>
      <c r="J101" s="113" t="s">
        <v>0</v>
      </c>
      <c r="K101" s="113" t="s">
        <v>0</v>
      </c>
      <c r="L101" s="138" t="s">
        <v>0</v>
      </c>
      <c r="M101" s="137">
        <f>M102</f>
        <v>26880780.870000001</v>
      </c>
      <c r="N101" s="137">
        <f t="shared" si="44"/>
        <v>25583221.630000003</v>
      </c>
      <c r="O101" s="137">
        <f t="shared" si="44"/>
        <v>25583221.630000003</v>
      </c>
      <c r="P101" s="157">
        <f t="shared" si="30"/>
        <v>0.95172910912539277</v>
      </c>
    </row>
    <row r="102" spans="1:16" s="101" customFormat="1" ht="15.75" x14ac:dyDescent="0.2">
      <c r="A102" s="115" t="s">
        <v>33</v>
      </c>
      <c r="B102" s="113" t="s">
        <v>80</v>
      </c>
      <c r="C102" s="113" t="s">
        <v>21</v>
      </c>
      <c r="D102" s="113" t="s">
        <v>183</v>
      </c>
      <c r="E102" s="113" t="s">
        <v>66</v>
      </c>
      <c r="F102" s="113" t="s">
        <v>32</v>
      </c>
      <c r="G102" s="113" t="s">
        <v>34</v>
      </c>
      <c r="H102" s="113" t="s">
        <v>0</v>
      </c>
      <c r="I102" s="113" t="s">
        <v>0</v>
      </c>
      <c r="J102" s="113" t="s">
        <v>0</v>
      </c>
      <c r="K102" s="113" t="s">
        <v>0</v>
      </c>
      <c r="L102" s="138" t="s">
        <v>0</v>
      </c>
      <c r="M102" s="137">
        <f>M107+M103</f>
        <v>26880780.870000001</v>
      </c>
      <c r="N102" s="137">
        <f t="shared" ref="N102:O102" si="45">N107+N103</f>
        <v>25583221.630000003</v>
      </c>
      <c r="O102" s="137">
        <f t="shared" si="45"/>
        <v>25583221.630000003</v>
      </c>
      <c r="P102" s="157">
        <f t="shared" si="30"/>
        <v>0.95172910912539277</v>
      </c>
    </row>
    <row r="103" spans="1:16" s="101" customFormat="1" ht="31.5" x14ac:dyDescent="0.2">
      <c r="A103" s="112" t="s">
        <v>92</v>
      </c>
      <c r="B103" s="113" t="s">
        <v>80</v>
      </c>
      <c r="C103" s="113" t="s">
        <v>21</v>
      </c>
      <c r="D103" s="113" t="s">
        <v>183</v>
      </c>
      <c r="E103" s="113" t="s">
        <v>66</v>
      </c>
      <c r="F103" s="113" t="s">
        <v>32</v>
      </c>
      <c r="G103" s="113" t="s">
        <v>34</v>
      </c>
      <c r="H103" s="113">
        <v>11270</v>
      </c>
      <c r="I103" s="114" t="s">
        <v>0</v>
      </c>
      <c r="J103" s="114" t="s">
        <v>0</v>
      </c>
      <c r="K103" s="114" t="s">
        <v>0</v>
      </c>
      <c r="L103" s="136" t="s">
        <v>0</v>
      </c>
      <c r="M103" s="137">
        <f>M104</f>
        <v>4394911.3</v>
      </c>
      <c r="N103" s="137">
        <f t="shared" ref="N103:O103" si="46">N104</f>
        <v>4394911.3</v>
      </c>
      <c r="O103" s="137">
        <f t="shared" si="46"/>
        <v>4394911.3</v>
      </c>
      <c r="P103" s="157">
        <f t="shared" si="30"/>
        <v>1</v>
      </c>
    </row>
    <row r="104" spans="1:16" s="101" customFormat="1" ht="63" x14ac:dyDescent="0.2">
      <c r="A104" s="112" t="s">
        <v>290</v>
      </c>
      <c r="B104" s="113" t="s">
        <v>80</v>
      </c>
      <c r="C104" s="113" t="s">
        <v>21</v>
      </c>
      <c r="D104" s="113" t="s">
        <v>183</v>
      </c>
      <c r="E104" s="113" t="s">
        <v>66</v>
      </c>
      <c r="F104" s="113" t="s">
        <v>32</v>
      </c>
      <c r="G104" s="113" t="s">
        <v>34</v>
      </c>
      <c r="H104" s="113">
        <v>11270</v>
      </c>
      <c r="I104" s="113" t="s">
        <v>144</v>
      </c>
      <c r="J104" s="113" t="s">
        <v>0</v>
      </c>
      <c r="K104" s="113"/>
      <c r="L104" s="113" t="s">
        <v>0</v>
      </c>
      <c r="M104" s="126">
        <f>M106</f>
        <v>4394911.3</v>
      </c>
      <c r="N104" s="126">
        <f t="shared" ref="N104:O104" si="47">N106</f>
        <v>4394911.3</v>
      </c>
      <c r="O104" s="126">
        <f t="shared" si="47"/>
        <v>4394911.3</v>
      </c>
      <c r="P104" s="157">
        <f t="shared" si="30"/>
        <v>1</v>
      </c>
    </row>
    <row r="105" spans="1:16" s="101" customFormat="1" ht="15.75" x14ac:dyDescent="0.2">
      <c r="A105" s="112" t="s">
        <v>161</v>
      </c>
      <c r="B105" s="129" t="s">
        <v>0</v>
      </c>
      <c r="C105" s="129" t="s">
        <v>0</v>
      </c>
      <c r="D105" s="129" t="s">
        <v>0</v>
      </c>
      <c r="E105" s="129" t="s">
        <v>0</v>
      </c>
      <c r="F105" s="129" t="s">
        <v>0</v>
      </c>
      <c r="G105" s="129" t="s">
        <v>0</v>
      </c>
      <c r="H105" s="129" t="s">
        <v>0</v>
      </c>
      <c r="I105" s="129" t="s">
        <v>0</v>
      </c>
      <c r="J105" s="129" t="s">
        <v>0</v>
      </c>
      <c r="K105" s="129" t="s">
        <v>0</v>
      </c>
      <c r="L105" s="129" t="s">
        <v>0</v>
      </c>
      <c r="M105" s="105">
        <f>M106</f>
        <v>4394911.3</v>
      </c>
      <c r="N105" s="105">
        <f t="shared" ref="N105:O105" si="48">N106</f>
        <v>4394911.3</v>
      </c>
      <c r="O105" s="105">
        <f t="shared" si="48"/>
        <v>4394911.3</v>
      </c>
      <c r="P105" s="157">
        <f t="shared" si="30"/>
        <v>1</v>
      </c>
    </row>
    <row r="106" spans="1:16" s="101" customFormat="1" ht="31.5" x14ac:dyDescent="0.2">
      <c r="A106" s="96" t="s">
        <v>324</v>
      </c>
      <c r="B106" s="97" t="s">
        <v>80</v>
      </c>
      <c r="C106" s="97" t="s">
        <v>21</v>
      </c>
      <c r="D106" s="97" t="s">
        <v>183</v>
      </c>
      <c r="E106" s="97" t="s">
        <v>66</v>
      </c>
      <c r="F106" s="97" t="s">
        <v>32</v>
      </c>
      <c r="G106" s="97" t="s">
        <v>34</v>
      </c>
      <c r="H106" s="97">
        <v>11270</v>
      </c>
      <c r="I106" s="97" t="s">
        <v>144</v>
      </c>
      <c r="J106" s="98" t="s">
        <v>94</v>
      </c>
      <c r="K106" s="98" t="s">
        <v>185</v>
      </c>
      <c r="L106" s="98">
        <v>2018</v>
      </c>
      <c r="M106" s="99">
        <f>4803986.29-409074.99</f>
        <v>4394911.3</v>
      </c>
      <c r="N106" s="99">
        <f>4803986.29-409074.99</f>
        <v>4394911.3</v>
      </c>
      <c r="O106" s="99">
        <f>4803986.29-409074.99</f>
        <v>4394911.3</v>
      </c>
      <c r="P106" s="157">
        <f t="shared" si="30"/>
        <v>1</v>
      </c>
    </row>
    <row r="107" spans="1:16" s="101" customFormat="1" ht="31.5" x14ac:dyDescent="0.2">
      <c r="A107" s="112" t="s">
        <v>92</v>
      </c>
      <c r="B107" s="113" t="s">
        <v>80</v>
      </c>
      <c r="C107" s="113" t="s">
        <v>21</v>
      </c>
      <c r="D107" s="113" t="s">
        <v>183</v>
      </c>
      <c r="E107" s="113" t="s">
        <v>66</v>
      </c>
      <c r="F107" s="113" t="s">
        <v>32</v>
      </c>
      <c r="G107" s="113" t="s">
        <v>34</v>
      </c>
      <c r="H107" s="113" t="s">
        <v>285</v>
      </c>
      <c r="I107" s="114" t="s">
        <v>0</v>
      </c>
      <c r="J107" s="114" t="s">
        <v>0</v>
      </c>
      <c r="K107" s="114" t="s">
        <v>0</v>
      </c>
      <c r="L107" s="136" t="s">
        <v>0</v>
      </c>
      <c r="M107" s="137">
        <f>M108</f>
        <v>22485869.57</v>
      </c>
      <c r="N107" s="137">
        <f t="shared" ref="N107:O107" si="49">N108</f>
        <v>21188310.330000002</v>
      </c>
      <c r="O107" s="137">
        <f t="shared" si="49"/>
        <v>21188310.330000002</v>
      </c>
      <c r="P107" s="157">
        <f t="shared" si="30"/>
        <v>0.9422944602626725</v>
      </c>
    </row>
    <row r="108" spans="1:16" s="101" customFormat="1" ht="63" x14ac:dyDescent="0.2">
      <c r="A108" s="112" t="s">
        <v>290</v>
      </c>
      <c r="B108" s="113" t="s">
        <v>80</v>
      </c>
      <c r="C108" s="113" t="s">
        <v>21</v>
      </c>
      <c r="D108" s="113" t="s">
        <v>183</v>
      </c>
      <c r="E108" s="113" t="s">
        <v>66</v>
      </c>
      <c r="F108" s="113" t="s">
        <v>32</v>
      </c>
      <c r="G108" s="113" t="s">
        <v>34</v>
      </c>
      <c r="H108" s="113" t="s">
        <v>285</v>
      </c>
      <c r="I108" s="113" t="s">
        <v>144</v>
      </c>
      <c r="J108" s="113" t="s">
        <v>0</v>
      </c>
      <c r="K108" s="113"/>
      <c r="L108" s="113" t="s">
        <v>0</v>
      </c>
      <c r="M108" s="126">
        <f>M110+M112+M113+M117+M118+M120+M122+M123+M125+M128+M129+M131+M115+M127</f>
        <v>22485869.57</v>
      </c>
      <c r="N108" s="126">
        <f t="shared" ref="N108:O108" si="50">N110+N112+N113+N117+N118+N120+N122+N123+N125+N128+N129+N131+N115+N127</f>
        <v>21188310.330000002</v>
      </c>
      <c r="O108" s="126">
        <f t="shared" si="50"/>
        <v>21188310.330000002</v>
      </c>
      <c r="P108" s="157">
        <f t="shared" si="30"/>
        <v>0.9422944602626725</v>
      </c>
    </row>
    <row r="109" spans="1:16" s="101" customFormat="1" ht="15.75" x14ac:dyDescent="0.2">
      <c r="A109" s="112" t="s">
        <v>184</v>
      </c>
      <c r="B109" s="129" t="s">
        <v>0</v>
      </c>
      <c r="C109" s="129" t="s">
        <v>0</v>
      </c>
      <c r="D109" s="129" t="s">
        <v>0</v>
      </c>
      <c r="E109" s="129" t="s">
        <v>0</v>
      </c>
      <c r="F109" s="129" t="s">
        <v>0</v>
      </c>
      <c r="G109" s="129" t="s">
        <v>0</v>
      </c>
      <c r="H109" s="129" t="s">
        <v>0</v>
      </c>
      <c r="I109" s="129" t="s">
        <v>0</v>
      </c>
      <c r="J109" s="129" t="s">
        <v>0</v>
      </c>
      <c r="K109" s="129" t="s">
        <v>0</v>
      </c>
      <c r="L109" s="129" t="s">
        <v>0</v>
      </c>
      <c r="M109" s="105">
        <f>M110</f>
        <v>1266119.46</v>
      </c>
      <c r="N109" s="105">
        <f t="shared" ref="N109:O109" si="51">N110</f>
        <v>1266119.46</v>
      </c>
      <c r="O109" s="105">
        <f t="shared" si="51"/>
        <v>1266119.46</v>
      </c>
      <c r="P109" s="157">
        <f t="shared" si="30"/>
        <v>1</v>
      </c>
    </row>
    <row r="110" spans="1:16" s="101" customFormat="1" ht="47.25" x14ac:dyDescent="0.2">
      <c r="A110" s="96" t="s">
        <v>345</v>
      </c>
      <c r="B110" s="97">
        <v>17</v>
      </c>
      <c r="C110" s="97">
        <v>9</v>
      </c>
      <c r="D110" s="97">
        <v>91</v>
      </c>
      <c r="E110" s="97" t="s">
        <v>66</v>
      </c>
      <c r="F110" s="97" t="s">
        <v>32</v>
      </c>
      <c r="G110" s="97" t="s">
        <v>34</v>
      </c>
      <c r="H110" s="97" t="s">
        <v>285</v>
      </c>
      <c r="I110" s="97" t="s">
        <v>144</v>
      </c>
      <c r="J110" s="98" t="s">
        <v>94</v>
      </c>
      <c r="K110" s="98">
        <v>1.6930000000000001</v>
      </c>
      <c r="L110" s="98">
        <v>2018</v>
      </c>
      <c r="M110" s="99">
        <f>1360067-93947.54</f>
        <v>1266119.46</v>
      </c>
      <c r="N110" s="99">
        <f>1360067-93947.54</f>
        <v>1266119.46</v>
      </c>
      <c r="O110" s="99">
        <f>1360067-93947.54</f>
        <v>1266119.46</v>
      </c>
      <c r="P110" s="156">
        <f t="shared" si="30"/>
        <v>1</v>
      </c>
    </row>
    <row r="111" spans="1:16" s="101" customFormat="1" ht="31.5" x14ac:dyDescent="0.2">
      <c r="A111" s="112" t="s">
        <v>231</v>
      </c>
      <c r="B111" s="129" t="s">
        <v>0</v>
      </c>
      <c r="C111" s="129" t="s">
        <v>0</v>
      </c>
      <c r="D111" s="129" t="s">
        <v>0</v>
      </c>
      <c r="E111" s="129" t="s">
        <v>0</v>
      </c>
      <c r="F111" s="129" t="s">
        <v>0</v>
      </c>
      <c r="G111" s="129" t="s">
        <v>0</v>
      </c>
      <c r="H111" s="129" t="s">
        <v>0</v>
      </c>
      <c r="I111" s="129" t="s">
        <v>0</v>
      </c>
      <c r="J111" s="129" t="s">
        <v>0</v>
      </c>
      <c r="K111" s="129" t="s">
        <v>0</v>
      </c>
      <c r="L111" s="129" t="s">
        <v>0</v>
      </c>
      <c r="M111" s="105">
        <f>M112+M113</f>
        <v>2049602.7600000002</v>
      </c>
      <c r="N111" s="105">
        <f t="shared" ref="N111:O111" si="52">N112+N113</f>
        <v>1753323.98</v>
      </c>
      <c r="O111" s="105">
        <f t="shared" si="52"/>
        <v>1753323.98</v>
      </c>
      <c r="P111" s="157">
        <f t="shared" si="30"/>
        <v>0.85544575476664553</v>
      </c>
    </row>
    <row r="112" spans="1:16" s="101" customFormat="1" ht="47.25" x14ac:dyDescent="0.2">
      <c r="A112" s="96" t="s">
        <v>232</v>
      </c>
      <c r="B112" s="97">
        <v>17</v>
      </c>
      <c r="C112" s="97">
        <v>9</v>
      </c>
      <c r="D112" s="97">
        <v>91</v>
      </c>
      <c r="E112" s="97" t="s">
        <v>66</v>
      </c>
      <c r="F112" s="97" t="s">
        <v>32</v>
      </c>
      <c r="G112" s="97" t="s">
        <v>34</v>
      </c>
      <c r="H112" s="97" t="s">
        <v>285</v>
      </c>
      <c r="I112" s="97" t="s">
        <v>144</v>
      </c>
      <c r="J112" s="98" t="s">
        <v>94</v>
      </c>
      <c r="K112" s="98">
        <v>1.867</v>
      </c>
      <c r="L112" s="98">
        <v>2018</v>
      </c>
      <c r="M112" s="99">
        <f>414373+992940-193866.61</f>
        <v>1213446.3900000001</v>
      </c>
      <c r="N112" s="99">
        <v>1148117.5900000001</v>
      </c>
      <c r="O112" s="99">
        <v>1148117.5900000001</v>
      </c>
      <c r="P112" s="156">
        <f t="shared" si="30"/>
        <v>0.94616259890970544</v>
      </c>
    </row>
    <row r="113" spans="1:16" s="101" customFormat="1" ht="47.25" x14ac:dyDescent="0.2">
      <c r="A113" s="96" t="s">
        <v>233</v>
      </c>
      <c r="B113" s="97">
        <v>17</v>
      </c>
      <c r="C113" s="97">
        <v>9</v>
      </c>
      <c r="D113" s="97">
        <v>91</v>
      </c>
      <c r="E113" s="97" t="s">
        <v>66</v>
      </c>
      <c r="F113" s="97" t="s">
        <v>32</v>
      </c>
      <c r="G113" s="97" t="s">
        <v>34</v>
      </c>
      <c r="H113" s="97" t="s">
        <v>285</v>
      </c>
      <c r="I113" s="97" t="s">
        <v>144</v>
      </c>
      <c r="J113" s="98" t="s">
        <v>94</v>
      </c>
      <c r="K113" s="98">
        <v>1.0309999999999999</v>
      </c>
      <c r="L113" s="98">
        <v>2018</v>
      </c>
      <c r="M113" s="99">
        <f>342000+532000-37843.63</f>
        <v>836156.37</v>
      </c>
      <c r="N113" s="99">
        <v>605206.39</v>
      </c>
      <c r="O113" s="99">
        <v>605206.39</v>
      </c>
      <c r="P113" s="156">
        <f t="shared" si="30"/>
        <v>0.72379570581995334</v>
      </c>
    </row>
    <row r="114" spans="1:16" s="101" customFormat="1" ht="31.5" x14ac:dyDescent="0.2">
      <c r="A114" s="112" t="s">
        <v>187</v>
      </c>
      <c r="B114" s="129" t="s">
        <v>0</v>
      </c>
      <c r="C114" s="129" t="s">
        <v>0</v>
      </c>
      <c r="D114" s="129" t="s">
        <v>0</v>
      </c>
      <c r="E114" s="129" t="s">
        <v>0</v>
      </c>
      <c r="F114" s="129" t="s">
        <v>0</v>
      </c>
      <c r="G114" s="129" t="s">
        <v>0</v>
      </c>
      <c r="H114" s="129" t="s">
        <v>0</v>
      </c>
      <c r="I114" s="129" t="s">
        <v>0</v>
      </c>
      <c r="J114" s="129" t="s">
        <v>0</v>
      </c>
      <c r="K114" s="129" t="s">
        <v>0</v>
      </c>
      <c r="L114" s="129" t="s">
        <v>0</v>
      </c>
      <c r="M114" s="105">
        <f>M115</f>
        <v>917795.3899999999</v>
      </c>
      <c r="N114" s="105">
        <f t="shared" ref="N114:O114" si="53">N115</f>
        <v>906395.39</v>
      </c>
      <c r="O114" s="105">
        <f t="shared" si="53"/>
        <v>906395.39</v>
      </c>
      <c r="P114" s="157">
        <f t="shared" si="30"/>
        <v>0.98757893085516602</v>
      </c>
    </row>
    <row r="115" spans="1:16" s="101" customFormat="1" ht="47.25" x14ac:dyDescent="0.2">
      <c r="A115" s="96" t="s">
        <v>188</v>
      </c>
      <c r="B115" s="97" t="s">
        <v>80</v>
      </c>
      <c r="C115" s="97" t="s">
        <v>21</v>
      </c>
      <c r="D115" s="97" t="s">
        <v>183</v>
      </c>
      <c r="E115" s="97" t="s">
        <v>66</v>
      </c>
      <c r="F115" s="97" t="s">
        <v>32</v>
      </c>
      <c r="G115" s="97" t="s">
        <v>34</v>
      </c>
      <c r="H115" s="97" t="s">
        <v>285</v>
      </c>
      <c r="I115" s="97" t="s">
        <v>144</v>
      </c>
      <c r="J115" s="98" t="s">
        <v>94</v>
      </c>
      <c r="K115" s="98" t="s">
        <v>189</v>
      </c>
      <c r="L115" s="98">
        <v>2018</v>
      </c>
      <c r="M115" s="99">
        <f>1210718-0.61-275123.76-17798.24</f>
        <v>917795.3899999999</v>
      </c>
      <c r="N115" s="99">
        <v>906395.39</v>
      </c>
      <c r="O115" s="99">
        <v>906395.39</v>
      </c>
      <c r="P115" s="156">
        <f t="shared" si="30"/>
        <v>0.98757893085516602</v>
      </c>
    </row>
    <row r="116" spans="1:16" s="101" customFormat="1" ht="15.75" x14ac:dyDescent="0.2">
      <c r="A116" s="112" t="s">
        <v>190</v>
      </c>
      <c r="B116" s="129" t="s">
        <v>0</v>
      </c>
      <c r="C116" s="129" t="s">
        <v>0</v>
      </c>
      <c r="D116" s="129" t="s">
        <v>0</v>
      </c>
      <c r="E116" s="129" t="s">
        <v>0</v>
      </c>
      <c r="F116" s="129" t="s">
        <v>0</v>
      </c>
      <c r="G116" s="129" t="s">
        <v>0</v>
      </c>
      <c r="H116" s="129" t="s">
        <v>0</v>
      </c>
      <c r="I116" s="129" t="s">
        <v>0</v>
      </c>
      <c r="J116" s="129" t="s">
        <v>0</v>
      </c>
      <c r="K116" s="129" t="s">
        <v>0</v>
      </c>
      <c r="L116" s="129" t="s">
        <v>0</v>
      </c>
      <c r="M116" s="105">
        <f>M117+M118</f>
        <v>2178165.33</v>
      </c>
      <c r="N116" s="105">
        <f t="shared" ref="N116:O116" si="54">N117+N118</f>
        <v>2178165.33</v>
      </c>
      <c r="O116" s="105">
        <f t="shared" si="54"/>
        <v>2178165.33</v>
      </c>
      <c r="P116" s="157">
        <f t="shared" si="30"/>
        <v>1</v>
      </c>
    </row>
    <row r="117" spans="1:16" s="101" customFormat="1" ht="47.25" x14ac:dyDescent="0.2">
      <c r="A117" s="96" t="s">
        <v>191</v>
      </c>
      <c r="B117" s="97" t="s">
        <v>80</v>
      </c>
      <c r="C117" s="97" t="s">
        <v>21</v>
      </c>
      <c r="D117" s="97" t="s">
        <v>183</v>
      </c>
      <c r="E117" s="97" t="s">
        <v>66</v>
      </c>
      <c r="F117" s="97" t="s">
        <v>32</v>
      </c>
      <c r="G117" s="97" t="s">
        <v>34</v>
      </c>
      <c r="H117" s="97" t="s">
        <v>285</v>
      </c>
      <c r="I117" s="97" t="s">
        <v>144</v>
      </c>
      <c r="J117" s="98" t="s">
        <v>94</v>
      </c>
      <c r="K117" s="98" t="s">
        <v>192</v>
      </c>
      <c r="L117" s="98">
        <v>2018</v>
      </c>
      <c r="M117" s="99">
        <f>190722-0.26-35986.11</f>
        <v>154735.63</v>
      </c>
      <c r="N117" s="99">
        <f>190722-0.26-35986.11</f>
        <v>154735.63</v>
      </c>
      <c r="O117" s="99">
        <f>190722-0.26-35986.11</f>
        <v>154735.63</v>
      </c>
      <c r="P117" s="156">
        <f t="shared" si="30"/>
        <v>1</v>
      </c>
    </row>
    <row r="118" spans="1:16" s="101" customFormat="1" ht="31.5" x14ac:dyDescent="0.2">
      <c r="A118" s="96" t="s">
        <v>236</v>
      </c>
      <c r="B118" s="97">
        <v>17</v>
      </c>
      <c r="C118" s="97">
        <v>9</v>
      </c>
      <c r="D118" s="97">
        <v>91</v>
      </c>
      <c r="E118" s="97" t="s">
        <v>66</v>
      </c>
      <c r="F118" s="97" t="s">
        <v>32</v>
      </c>
      <c r="G118" s="97" t="s">
        <v>34</v>
      </c>
      <c r="H118" s="97" t="s">
        <v>285</v>
      </c>
      <c r="I118" s="97" t="s">
        <v>144</v>
      </c>
      <c r="J118" s="98" t="s">
        <v>94</v>
      </c>
      <c r="K118" s="98">
        <v>3.4609999999999999</v>
      </c>
      <c r="L118" s="98">
        <v>2018</v>
      </c>
      <c r="M118" s="99">
        <f>2573550-496753.82-53366.48</f>
        <v>2023429.7</v>
      </c>
      <c r="N118" s="99">
        <f>2573550-496753.82-53366.48</f>
        <v>2023429.7</v>
      </c>
      <c r="O118" s="99">
        <f>2573550-496753.82-53366.48</f>
        <v>2023429.7</v>
      </c>
      <c r="P118" s="156">
        <f t="shared" si="30"/>
        <v>1</v>
      </c>
    </row>
    <row r="119" spans="1:16" s="101" customFormat="1" ht="15.75" x14ac:dyDescent="0.2">
      <c r="A119" s="112" t="s">
        <v>179</v>
      </c>
      <c r="B119" s="129" t="s">
        <v>0</v>
      </c>
      <c r="C119" s="129" t="s">
        <v>0</v>
      </c>
      <c r="D119" s="129" t="s">
        <v>0</v>
      </c>
      <c r="E119" s="129" t="s">
        <v>0</v>
      </c>
      <c r="F119" s="129" t="s">
        <v>0</v>
      </c>
      <c r="G119" s="129" t="s">
        <v>0</v>
      </c>
      <c r="H119" s="129" t="s">
        <v>0</v>
      </c>
      <c r="I119" s="129" t="s">
        <v>0</v>
      </c>
      <c r="J119" s="129" t="s">
        <v>0</v>
      </c>
      <c r="K119" s="129" t="s">
        <v>0</v>
      </c>
      <c r="L119" s="129" t="s">
        <v>0</v>
      </c>
      <c r="M119" s="105">
        <f>M120</f>
        <v>892859.4</v>
      </c>
      <c r="N119" s="105">
        <f t="shared" ref="N119:O119" si="55">N120</f>
        <v>892859.4</v>
      </c>
      <c r="O119" s="105">
        <f t="shared" si="55"/>
        <v>892859.4</v>
      </c>
      <c r="P119" s="157">
        <f t="shared" si="30"/>
        <v>1</v>
      </c>
    </row>
    <row r="120" spans="1:16" s="101" customFormat="1" ht="31.5" x14ac:dyDescent="0.2">
      <c r="A120" s="96" t="s">
        <v>342</v>
      </c>
      <c r="B120" s="97">
        <v>17</v>
      </c>
      <c r="C120" s="97">
        <v>9</v>
      </c>
      <c r="D120" s="97">
        <v>91</v>
      </c>
      <c r="E120" s="97" t="s">
        <v>66</v>
      </c>
      <c r="F120" s="97" t="s">
        <v>32</v>
      </c>
      <c r="G120" s="97" t="s">
        <v>34</v>
      </c>
      <c r="H120" s="97" t="s">
        <v>285</v>
      </c>
      <c r="I120" s="97" t="s">
        <v>144</v>
      </c>
      <c r="J120" s="98" t="s">
        <v>94</v>
      </c>
      <c r="K120" s="98">
        <v>1.419</v>
      </c>
      <c r="L120" s="98">
        <v>2018</v>
      </c>
      <c r="M120" s="99">
        <f>1111500-208447.1-10193.5</f>
        <v>892859.4</v>
      </c>
      <c r="N120" s="99">
        <f>1111500-208447.1-10193.5</f>
        <v>892859.4</v>
      </c>
      <c r="O120" s="99">
        <f>1111500-208447.1-10193.5</f>
        <v>892859.4</v>
      </c>
      <c r="P120" s="156">
        <f t="shared" si="30"/>
        <v>1</v>
      </c>
    </row>
    <row r="121" spans="1:16" s="101" customFormat="1" ht="31.5" x14ac:dyDescent="0.2">
      <c r="A121" s="112" t="s">
        <v>167</v>
      </c>
      <c r="B121" s="129" t="s">
        <v>0</v>
      </c>
      <c r="C121" s="129" t="s">
        <v>0</v>
      </c>
      <c r="D121" s="129" t="s">
        <v>0</v>
      </c>
      <c r="E121" s="129" t="s">
        <v>0</v>
      </c>
      <c r="F121" s="129" t="s">
        <v>0</v>
      </c>
      <c r="G121" s="129" t="s">
        <v>0</v>
      </c>
      <c r="H121" s="129" t="s">
        <v>0</v>
      </c>
      <c r="I121" s="129" t="s">
        <v>0</v>
      </c>
      <c r="J121" s="129" t="s">
        <v>0</v>
      </c>
      <c r="K121" s="129" t="s">
        <v>0</v>
      </c>
      <c r="L121" s="129" t="s">
        <v>0</v>
      </c>
      <c r="M121" s="105">
        <f>M122+M123</f>
        <v>3315146.1399999997</v>
      </c>
      <c r="N121" s="105">
        <f t="shared" ref="N121:O121" si="56">N122+N123</f>
        <v>3262896.1500000004</v>
      </c>
      <c r="O121" s="105">
        <f t="shared" si="56"/>
        <v>3262896.1500000004</v>
      </c>
      <c r="P121" s="157">
        <f t="shared" si="30"/>
        <v>0.98423900854035973</v>
      </c>
    </row>
    <row r="122" spans="1:16" s="101" customFormat="1" ht="47.25" x14ac:dyDescent="0.2">
      <c r="A122" s="96" t="s">
        <v>193</v>
      </c>
      <c r="B122" s="97">
        <v>17</v>
      </c>
      <c r="C122" s="97">
        <v>9</v>
      </c>
      <c r="D122" s="97">
        <v>91</v>
      </c>
      <c r="E122" s="97" t="s">
        <v>66</v>
      </c>
      <c r="F122" s="97" t="s">
        <v>32</v>
      </c>
      <c r="G122" s="97" t="s">
        <v>34</v>
      </c>
      <c r="H122" s="97" t="s">
        <v>285</v>
      </c>
      <c r="I122" s="97" t="s">
        <v>144</v>
      </c>
      <c r="J122" s="98" t="s">
        <v>94</v>
      </c>
      <c r="K122" s="98">
        <v>1.4630000000000001</v>
      </c>
      <c r="L122" s="98">
        <v>2018</v>
      </c>
      <c r="M122" s="99">
        <f>351597.69+423314.46-423314.46+405244.56</f>
        <v>756842.25</v>
      </c>
      <c r="N122" s="99">
        <v>737842.26</v>
      </c>
      <c r="O122" s="99">
        <v>737842.26</v>
      </c>
      <c r="P122" s="156">
        <f t="shared" si="30"/>
        <v>0.97489570646987533</v>
      </c>
    </row>
    <row r="123" spans="1:16" s="101" customFormat="1" ht="47.25" x14ac:dyDescent="0.2">
      <c r="A123" s="96" t="s">
        <v>337</v>
      </c>
      <c r="B123" s="97">
        <v>17</v>
      </c>
      <c r="C123" s="97">
        <v>9</v>
      </c>
      <c r="D123" s="97">
        <v>91</v>
      </c>
      <c r="E123" s="97" t="s">
        <v>66</v>
      </c>
      <c r="F123" s="97" t="s">
        <v>32</v>
      </c>
      <c r="G123" s="97" t="s">
        <v>34</v>
      </c>
      <c r="H123" s="97" t="s">
        <v>285</v>
      </c>
      <c r="I123" s="97" t="s">
        <v>144</v>
      </c>
      <c r="J123" s="98" t="s">
        <v>94</v>
      </c>
      <c r="K123" s="98">
        <v>2.657</v>
      </c>
      <c r="L123" s="98">
        <v>2018</v>
      </c>
      <c r="M123" s="99">
        <f>1197000+1375295.05-13991.16</f>
        <v>2558303.8899999997</v>
      </c>
      <c r="N123" s="99">
        <v>2525053.89</v>
      </c>
      <c r="O123" s="99">
        <v>2525053.89</v>
      </c>
      <c r="P123" s="156">
        <f t="shared" si="30"/>
        <v>0.98700310775042466</v>
      </c>
    </row>
    <row r="124" spans="1:16" s="101" customFormat="1" ht="15.75" x14ac:dyDescent="0.2">
      <c r="A124" s="112" t="s">
        <v>194</v>
      </c>
      <c r="B124" s="129" t="s">
        <v>0</v>
      </c>
      <c r="C124" s="129" t="s">
        <v>0</v>
      </c>
      <c r="D124" s="129" t="s">
        <v>0</v>
      </c>
      <c r="E124" s="129" t="s">
        <v>0</v>
      </c>
      <c r="F124" s="129" t="s">
        <v>0</v>
      </c>
      <c r="G124" s="129" t="s">
        <v>0</v>
      </c>
      <c r="H124" s="129" t="s">
        <v>0</v>
      </c>
      <c r="I124" s="129" t="s">
        <v>0</v>
      </c>
      <c r="J124" s="129" t="s">
        <v>0</v>
      </c>
      <c r="K124" s="129" t="s">
        <v>0</v>
      </c>
      <c r="L124" s="129" t="s">
        <v>0</v>
      </c>
      <c r="M124" s="105">
        <f>M125</f>
        <v>5282260.71</v>
      </c>
      <c r="N124" s="105">
        <f t="shared" ref="N124:O124" si="57">N125</f>
        <v>5282260.71</v>
      </c>
      <c r="O124" s="105">
        <f t="shared" si="57"/>
        <v>5282260.71</v>
      </c>
      <c r="P124" s="157">
        <f t="shared" si="30"/>
        <v>1</v>
      </c>
    </row>
    <row r="125" spans="1:16" s="101" customFormat="1" ht="31.5" x14ac:dyDescent="0.2">
      <c r="A125" s="96" t="s">
        <v>195</v>
      </c>
      <c r="B125" s="97" t="s">
        <v>80</v>
      </c>
      <c r="C125" s="97" t="s">
        <v>21</v>
      </c>
      <c r="D125" s="97" t="s">
        <v>183</v>
      </c>
      <c r="E125" s="97" t="s">
        <v>66</v>
      </c>
      <c r="F125" s="97" t="s">
        <v>32</v>
      </c>
      <c r="G125" s="97" t="s">
        <v>34</v>
      </c>
      <c r="H125" s="97" t="s">
        <v>285</v>
      </c>
      <c r="I125" s="97" t="s">
        <v>144</v>
      </c>
      <c r="J125" s="98" t="s">
        <v>94</v>
      </c>
      <c r="K125" s="98" t="s">
        <v>196</v>
      </c>
      <c r="L125" s="98">
        <v>2018</v>
      </c>
      <c r="M125" s="99">
        <f>5724358+192225-0.39-605663.66-28658.24</f>
        <v>5282260.71</v>
      </c>
      <c r="N125" s="99">
        <f>5724358+192225-0.39-605663.66-28658.24</f>
        <v>5282260.71</v>
      </c>
      <c r="O125" s="99">
        <f>5724358+192225-0.39-605663.66-28658.24</f>
        <v>5282260.71</v>
      </c>
      <c r="P125" s="156">
        <f t="shared" si="30"/>
        <v>1</v>
      </c>
    </row>
    <row r="126" spans="1:16" s="101" customFormat="1" ht="31.5" x14ac:dyDescent="0.2">
      <c r="A126" s="112" t="s">
        <v>169</v>
      </c>
      <c r="B126" s="129" t="s">
        <v>0</v>
      </c>
      <c r="C126" s="129" t="s">
        <v>0</v>
      </c>
      <c r="D126" s="129" t="s">
        <v>0</v>
      </c>
      <c r="E126" s="129" t="s">
        <v>0</v>
      </c>
      <c r="F126" s="129" t="s">
        <v>0</v>
      </c>
      <c r="G126" s="129" t="s">
        <v>0</v>
      </c>
      <c r="H126" s="129" t="s">
        <v>0</v>
      </c>
      <c r="I126" s="129" t="s">
        <v>0</v>
      </c>
      <c r="J126" s="129" t="s">
        <v>0</v>
      </c>
      <c r="K126" s="129" t="s">
        <v>0</v>
      </c>
      <c r="L126" s="129" t="s">
        <v>0</v>
      </c>
      <c r="M126" s="105">
        <f>M127+M128+M129</f>
        <v>6267855.2000000002</v>
      </c>
      <c r="N126" s="105">
        <f t="shared" ref="N126:O126" si="58">N127+N128+N129</f>
        <v>5330224.7300000004</v>
      </c>
      <c r="O126" s="105">
        <f t="shared" si="58"/>
        <v>5330224.7300000004</v>
      </c>
      <c r="P126" s="157">
        <f t="shared" si="30"/>
        <v>0.85040648833112809</v>
      </c>
    </row>
    <row r="127" spans="1:16" s="101" customFormat="1" ht="47.25" x14ac:dyDescent="0.2">
      <c r="A127" s="96" t="s">
        <v>197</v>
      </c>
      <c r="B127" s="97" t="s">
        <v>80</v>
      </c>
      <c r="C127" s="97" t="s">
        <v>21</v>
      </c>
      <c r="D127" s="97" t="s">
        <v>183</v>
      </c>
      <c r="E127" s="97" t="s">
        <v>66</v>
      </c>
      <c r="F127" s="97" t="s">
        <v>32</v>
      </c>
      <c r="G127" s="97" t="s">
        <v>34</v>
      </c>
      <c r="H127" s="97" t="s">
        <v>285</v>
      </c>
      <c r="I127" s="97" t="s">
        <v>144</v>
      </c>
      <c r="J127" s="98" t="s">
        <v>94</v>
      </c>
      <c r="K127" s="98">
        <v>0.48399999999999999</v>
      </c>
      <c r="L127" s="98">
        <v>2018</v>
      </c>
      <c r="M127" s="99">
        <f>420736-0.13-247844.9-14990.66</f>
        <v>157900.31</v>
      </c>
      <c r="N127" s="99">
        <f>420736-0.13-247844.9-14990.66</f>
        <v>157900.31</v>
      </c>
      <c r="O127" s="99">
        <f>420736-0.13-247844.9-14990.66</f>
        <v>157900.31</v>
      </c>
      <c r="P127" s="156">
        <f t="shared" si="30"/>
        <v>1</v>
      </c>
    </row>
    <row r="128" spans="1:16" s="101" customFormat="1" ht="31.5" x14ac:dyDescent="0.2">
      <c r="A128" s="96" t="s">
        <v>394</v>
      </c>
      <c r="B128" s="97" t="s">
        <v>80</v>
      </c>
      <c r="C128" s="97" t="s">
        <v>21</v>
      </c>
      <c r="D128" s="97" t="s">
        <v>183</v>
      </c>
      <c r="E128" s="97" t="s">
        <v>66</v>
      </c>
      <c r="F128" s="97" t="s">
        <v>32</v>
      </c>
      <c r="G128" s="97" t="s">
        <v>34</v>
      </c>
      <c r="H128" s="97" t="s">
        <v>285</v>
      </c>
      <c r="I128" s="97" t="s">
        <v>144</v>
      </c>
      <c r="J128" s="98" t="s">
        <v>94</v>
      </c>
      <c r="K128" s="98">
        <v>3.7450000000000001</v>
      </c>
      <c r="L128" s="98">
        <v>2018</v>
      </c>
      <c r="M128" s="99">
        <v>3785930.5</v>
      </c>
      <c r="N128" s="99">
        <v>2848300.03</v>
      </c>
      <c r="O128" s="99">
        <v>2848300.03</v>
      </c>
      <c r="P128" s="156">
        <f t="shared" si="30"/>
        <v>0.75233817155386229</v>
      </c>
    </row>
    <row r="129" spans="1:16" s="101" customFormat="1" ht="31.5" x14ac:dyDescent="0.2">
      <c r="A129" s="96" t="s">
        <v>198</v>
      </c>
      <c r="B129" s="97" t="s">
        <v>80</v>
      </c>
      <c r="C129" s="97" t="s">
        <v>21</v>
      </c>
      <c r="D129" s="97" t="s">
        <v>183</v>
      </c>
      <c r="E129" s="97" t="s">
        <v>66</v>
      </c>
      <c r="F129" s="97" t="s">
        <v>32</v>
      </c>
      <c r="G129" s="97" t="s">
        <v>34</v>
      </c>
      <c r="H129" s="97" t="s">
        <v>285</v>
      </c>
      <c r="I129" s="97" t="s">
        <v>144</v>
      </c>
      <c r="J129" s="98" t="s">
        <v>94</v>
      </c>
      <c r="K129" s="98" t="s">
        <v>199</v>
      </c>
      <c r="L129" s="98">
        <v>2018</v>
      </c>
      <c r="M129" s="99">
        <f>3541648-0.17-1277034.94+59411.5</f>
        <v>2324024.39</v>
      </c>
      <c r="N129" s="99">
        <f>3541648-0.17-1277034.94+59411.5</f>
        <v>2324024.39</v>
      </c>
      <c r="O129" s="99">
        <f>3541648-0.17-1277034.94+59411.5</f>
        <v>2324024.39</v>
      </c>
      <c r="P129" s="156">
        <f t="shared" si="30"/>
        <v>1</v>
      </c>
    </row>
    <row r="130" spans="1:16" s="101" customFormat="1" ht="15.75" x14ac:dyDescent="0.2">
      <c r="A130" s="112" t="s">
        <v>172</v>
      </c>
      <c r="B130" s="129" t="s">
        <v>0</v>
      </c>
      <c r="C130" s="129" t="s">
        <v>0</v>
      </c>
      <c r="D130" s="129" t="s">
        <v>0</v>
      </c>
      <c r="E130" s="129" t="s">
        <v>0</v>
      </c>
      <c r="F130" s="129" t="s">
        <v>0</v>
      </c>
      <c r="G130" s="129" t="s">
        <v>0</v>
      </c>
      <c r="H130" s="129" t="s">
        <v>0</v>
      </c>
      <c r="I130" s="129" t="s">
        <v>0</v>
      </c>
      <c r="J130" s="129" t="s">
        <v>0</v>
      </c>
      <c r="K130" s="129" t="s">
        <v>0</v>
      </c>
      <c r="L130" s="129" t="s">
        <v>0</v>
      </c>
      <c r="M130" s="105">
        <f>M131</f>
        <v>316065.18</v>
      </c>
      <c r="N130" s="105">
        <f t="shared" ref="N130:O130" si="59">N131</f>
        <v>316065.18</v>
      </c>
      <c r="O130" s="105">
        <f t="shared" si="59"/>
        <v>316065.18</v>
      </c>
      <c r="P130" s="157">
        <f t="shared" si="30"/>
        <v>1</v>
      </c>
    </row>
    <row r="131" spans="1:16" s="101" customFormat="1" ht="47.25" x14ac:dyDescent="0.2">
      <c r="A131" s="96" t="s">
        <v>350</v>
      </c>
      <c r="B131" s="97" t="s">
        <v>80</v>
      </c>
      <c r="C131" s="97" t="s">
        <v>21</v>
      </c>
      <c r="D131" s="97" t="s">
        <v>183</v>
      </c>
      <c r="E131" s="97" t="s">
        <v>66</v>
      </c>
      <c r="F131" s="97" t="s">
        <v>32</v>
      </c>
      <c r="G131" s="97" t="s">
        <v>34</v>
      </c>
      <c r="H131" s="97" t="s">
        <v>285</v>
      </c>
      <c r="I131" s="97" t="s">
        <v>144</v>
      </c>
      <c r="J131" s="98" t="s">
        <v>94</v>
      </c>
      <c r="K131" s="98" t="s">
        <v>201</v>
      </c>
      <c r="L131" s="98">
        <v>2018</v>
      </c>
      <c r="M131" s="99">
        <f>351386-0.13-35320.69</f>
        <v>316065.18</v>
      </c>
      <c r="N131" s="99">
        <f>351386-0.13-35320.69</f>
        <v>316065.18</v>
      </c>
      <c r="O131" s="99">
        <f>351386-0.13-35320.69</f>
        <v>316065.18</v>
      </c>
      <c r="P131" s="156">
        <f t="shared" si="30"/>
        <v>1</v>
      </c>
    </row>
    <row r="132" spans="1:16" s="101" customFormat="1" ht="31.5" x14ac:dyDescent="0.2">
      <c r="A132" s="112" t="s">
        <v>202</v>
      </c>
      <c r="B132" s="113" t="s">
        <v>80</v>
      </c>
      <c r="C132" s="113" t="s">
        <v>21</v>
      </c>
      <c r="D132" s="113" t="s">
        <v>203</v>
      </c>
      <c r="E132" s="113" t="s">
        <v>0</v>
      </c>
      <c r="F132" s="113" t="s">
        <v>0</v>
      </c>
      <c r="G132" s="113" t="s">
        <v>0</v>
      </c>
      <c r="H132" s="114" t="s">
        <v>0</v>
      </c>
      <c r="I132" s="114" t="s">
        <v>0</v>
      </c>
      <c r="J132" s="114" t="s">
        <v>0</v>
      </c>
      <c r="K132" s="114" t="s">
        <v>0</v>
      </c>
      <c r="L132" s="114" t="s">
        <v>0</v>
      </c>
      <c r="M132" s="105">
        <f>M133</f>
        <v>33399950.119999997</v>
      </c>
      <c r="N132" s="105">
        <f t="shared" ref="N132:O136" si="60">N133</f>
        <v>30814355.440000001</v>
      </c>
      <c r="O132" s="105">
        <f t="shared" si="60"/>
        <v>30814355.440000001</v>
      </c>
      <c r="P132" s="157">
        <f t="shared" si="30"/>
        <v>0.92258687001895445</v>
      </c>
    </row>
    <row r="133" spans="1:16" s="101" customFormat="1" ht="31.5" x14ac:dyDescent="0.2">
      <c r="A133" s="112" t="s">
        <v>288</v>
      </c>
      <c r="B133" s="113" t="s">
        <v>80</v>
      </c>
      <c r="C133" s="113" t="s">
        <v>21</v>
      </c>
      <c r="D133" s="113" t="s">
        <v>203</v>
      </c>
      <c r="E133" s="113" t="s">
        <v>66</v>
      </c>
      <c r="F133" s="113" t="s">
        <v>0</v>
      </c>
      <c r="G133" s="113" t="s">
        <v>0</v>
      </c>
      <c r="H133" s="114" t="s">
        <v>0</v>
      </c>
      <c r="I133" s="114" t="s">
        <v>0</v>
      </c>
      <c r="J133" s="114" t="s">
        <v>0</v>
      </c>
      <c r="K133" s="114" t="s">
        <v>0</v>
      </c>
      <c r="L133" s="114" t="s">
        <v>0</v>
      </c>
      <c r="M133" s="105">
        <f>M134</f>
        <v>33399950.119999997</v>
      </c>
      <c r="N133" s="105">
        <f t="shared" si="60"/>
        <v>30814355.440000001</v>
      </c>
      <c r="O133" s="105">
        <f t="shared" si="60"/>
        <v>30814355.440000001</v>
      </c>
      <c r="P133" s="157">
        <f t="shared" si="30"/>
        <v>0.92258687001895445</v>
      </c>
    </row>
    <row r="134" spans="1:16" s="101" customFormat="1" ht="31.5" x14ac:dyDescent="0.2">
      <c r="A134" s="115" t="s">
        <v>31</v>
      </c>
      <c r="B134" s="113" t="s">
        <v>80</v>
      </c>
      <c r="C134" s="113" t="s">
        <v>21</v>
      </c>
      <c r="D134" s="113" t="s">
        <v>203</v>
      </c>
      <c r="E134" s="113" t="s">
        <v>66</v>
      </c>
      <c r="F134" s="113" t="s">
        <v>32</v>
      </c>
      <c r="G134" s="113" t="s">
        <v>0</v>
      </c>
      <c r="H134" s="113" t="s">
        <v>0</v>
      </c>
      <c r="I134" s="113" t="s">
        <v>0</v>
      </c>
      <c r="J134" s="113" t="s">
        <v>0</v>
      </c>
      <c r="K134" s="113" t="s">
        <v>0</v>
      </c>
      <c r="L134" s="113" t="s">
        <v>0</v>
      </c>
      <c r="M134" s="105">
        <f>M135</f>
        <v>33399950.119999997</v>
      </c>
      <c r="N134" s="105">
        <f t="shared" si="60"/>
        <v>30814355.440000001</v>
      </c>
      <c r="O134" s="105">
        <f t="shared" si="60"/>
        <v>30814355.440000001</v>
      </c>
      <c r="P134" s="157">
        <f t="shared" si="30"/>
        <v>0.92258687001895445</v>
      </c>
    </row>
    <row r="135" spans="1:16" s="101" customFormat="1" ht="15.75" x14ac:dyDescent="0.2">
      <c r="A135" s="115" t="s">
        <v>33</v>
      </c>
      <c r="B135" s="113" t="s">
        <v>80</v>
      </c>
      <c r="C135" s="113" t="s">
        <v>21</v>
      </c>
      <c r="D135" s="113" t="s">
        <v>203</v>
      </c>
      <c r="E135" s="113" t="s">
        <v>66</v>
      </c>
      <c r="F135" s="113" t="s">
        <v>32</v>
      </c>
      <c r="G135" s="113" t="s">
        <v>34</v>
      </c>
      <c r="H135" s="113" t="s">
        <v>0</v>
      </c>
      <c r="I135" s="113" t="s">
        <v>0</v>
      </c>
      <c r="J135" s="113" t="s">
        <v>0</v>
      </c>
      <c r="K135" s="113" t="s">
        <v>0</v>
      </c>
      <c r="L135" s="113" t="s">
        <v>0</v>
      </c>
      <c r="M135" s="105">
        <f>M136</f>
        <v>33399950.119999997</v>
      </c>
      <c r="N135" s="105">
        <f t="shared" si="60"/>
        <v>30814355.440000001</v>
      </c>
      <c r="O135" s="105">
        <f t="shared" si="60"/>
        <v>30814355.440000001</v>
      </c>
      <c r="P135" s="157">
        <f t="shared" si="30"/>
        <v>0.92258687001895445</v>
      </c>
    </row>
    <row r="136" spans="1:16" s="101" customFormat="1" ht="31.5" x14ac:dyDescent="0.2">
      <c r="A136" s="112" t="s">
        <v>92</v>
      </c>
      <c r="B136" s="113" t="s">
        <v>80</v>
      </c>
      <c r="C136" s="113" t="s">
        <v>21</v>
      </c>
      <c r="D136" s="113" t="s">
        <v>203</v>
      </c>
      <c r="E136" s="113" t="s">
        <v>66</v>
      </c>
      <c r="F136" s="113" t="s">
        <v>32</v>
      </c>
      <c r="G136" s="113" t="s">
        <v>34</v>
      </c>
      <c r="H136" s="113" t="s">
        <v>285</v>
      </c>
      <c r="I136" s="114" t="s">
        <v>0</v>
      </c>
      <c r="J136" s="114" t="s">
        <v>0</v>
      </c>
      <c r="K136" s="114" t="s">
        <v>0</v>
      </c>
      <c r="L136" s="114" t="s">
        <v>0</v>
      </c>
      <c r="M136" s="105">
        <f>M137</f>
        <v>33399950.119999997</v>
      </c>
      <c r="N136" s="105">
        <f t="shared" si="60"/>
        <v>30814355.440000001</v>
      </c>
      <c r="O136" s="105">
        <f t="shared" si="60"/>
        <v>30814355.440000001</v>
      </c>
      <c r="P136" s="157">
        <f t="shared" si="30"/>
        <v>0.92258687001895445</v>
      </c>
    </row>
    <row r="137" spans="1:16" s="101" customFormat="1" ht="63" x14ac:dyDescent="0.2">
      <c r="A137" s="112" t="s">
        <v>290</v>
      </c>
      <c r="B137" s="113" t="s">
        <v>80</v>
      </c>
      <c r="C137" s="113" t="s">
        <v>21</v>
      </c>
      <c r="D137" s="113" t="s">
        <v>203</v>
      </c>
      <c r="E137" s="113" t="s">
        <v>66</v>
      </c>
      <c r="F137" s="113" t="s">
        <v>32</v>
      </c>
      <c r="G137" s="113" t="s">
        <v>34</v>
      </c>
      <c r="H137" s="113" t="s">
        <v>285</v>
      </c>
      <c r="I137" s="113" t="s">
        <v>144</v>
      </c>
      <c r="J137" s="113" t="s">
        <v>0</v>
      </c>
      <c r="K137" s="113"/>
      <c r="L137" s="113" t="s">
        <v>0</v>
      </c>
      <c r="M137" s="105">
        <f>M139+M141+M143+M145+M147+M149</f>
        <v>33399950.119999997</v>
      </c>
      <c r="N137" s="105">
        <f t="shared" ref="N137:O137" si="61">N139+N141+N143+N145+N147+N149</f>
        <v>30814355.440000001</v>
      </c>
      <c r="O137" s="105">
        <f t="shared" si="61"/>
        <v>30814355.440000001</v>
      </c>
      <c r="P137" s="157">
        <f t="shared" ref="P137:P200" si="62">O137/M137</f>
        <v>0.92258687001895445</v>
      </c>
    </row>
    <row r="138" spans="1:16" s="101" customFormat="1" ht="15.75" x14ac:dyDescent="0.2">
      <c r="A138" s="112" t="s">
        <v>184</v>
      </c>
      <c r="B138" s="129" t="s">
        <v>0</v>
      </c>
      <c r="C138" s="129" t="s">
        <v>0</v>
      </c>
      <c r="D138" s="129" t="s">
        <v>0</v>
      </c>
      <c r="E138" s="129" t="s">
        <v>0</v>
      </c>
      <c r="F138" s="129" t="s">
        <v>0</v>
      </c>
      <c r="G138" s="129" t="s">
        <v>0</v>
      </c>
      <c r="H138" s="129" t="s">
        <v>0</v>
      </c>
      <c r="I138" s="129" t="s">
        <v>0</v>
      </c>
      <c r="J138" s="129" t="s">
        <v>0</v>
      </c>
      <c r="K138" s="129" t="s">
        <v>0</v>
      </c>
      <c r="L138" s="129" t="s">
        <v>0</v>
      </c>
      <c r="M138" s="105">
        <f>M139</f>
        <v>6752179.1499999994</v>
      </c>
      <c r="N138" s="105">
        <f t="shared" ref="N138:O138" si="63">N139</f>
        <v>6752179.1499999994</v>
      </c>
      <c r="O138" s="105">
        <f t="shared" si="63"/>
        <v>6752179.1499999994</v>
      </c>
      <c r="P138" s="157">
        <f t="shared" si="62"/>
        <v>1</v>
      </c>
    </row>
    <row r="139" spans="1:16" s="101" customFormat="1" ht="47.25" x14ac:dyDescent="0.2">
      <c r="A139" s="96" t="s">
        <v>351</v>
      </c>
      <c r="B139" s="97" t="s">
        <v>80</v>
      </c>
      <c r="C139" s="97" t="s">
        <v>21</v>
      </c>
      <c r="D139" s="97" t="s">
        <v>203</v>
      </c>
      <c r="E139" s="97" t="s">
        <v>66</v>
      </c>
      <c r="F139" s="97" t="s">
        <v>32</v>
      </c>
      <c r="G139" s="97" t="s">
        <v>34</v>
      </c>
      <c r="H139" s="97" t="s">
        <v>285</v>
      </c>
      <c r="I139" s="97" t="s">
        <v>144</v>
      </c>
      <c r="J139" s="98" t="s">
        <v>94</v>
      </c>
      <c r="K139" s="144" t="s">
        <v>389</v>
      </c>
      <c r="L139" s="98">
        <v>2018</v>
      </c>
      <c r="M139" s="99">
        <f>8154736-1187011.07-215545.78</f>
        <v>6752179.1499999994</v>
      </c>
      <c r="N139" s="99">
        <f>8154736-1187011.07-215545.78</f>
        <v>6752179.1499999994</v>
      </c>
      <c r="O139" s="99">
        <f>8154736-1187011.07-215545.78</f>
        <v>6752179.1499999994</v>
      </c>
      <c r="P139" s="156">
        <f t="shared" si="62"/>
        <v>1</v>
      </c>
    </row>
    <row r="140" spans="1:16" s="101" customFormat="1" ht="31.5" x14ac:dyDescent="0.2">
      <c r="A140" s="112" t="s">
        <v>159</v>
      </c>
      <c r="B140" s="129" t="s">
        <v>0</v>
      </c>
      <c r="C140" s="129" t="s">
        <v>0</v>
      </c>
      <c r="D140" s="129" t="s">
        <v>0</v>
      </c>
      <c r="E140" s="129" t="s">
        <v>0</v>
      </c>
      <c r="F140" s="129" t="s">
        <v>0</v>
      </c>
      <c r="G140" s="129" t="s">
        <v>0</v>
      </c>
      <c r="H140" s="129" t="s">
        <v>0</v>
      </c>
      <c r="I140" s="129" t="s">
        <v>0</v>
      </c>
      <c r="J140" s="129" t="s">
        <v>0</v>
      </c>
      <c r="K140" s="129" t="s">
        <v>0</v>
      </c>
      <c r="L140" s="129" t="s">
        <v>0</v>
      </c>
      <c r="M140" s="105">
        <f>M141</f>
        <v>4752151.0100000007</v>
      </c>
      <c r="N140" s="105">
        <f t="shared" ref="N140:O140" si="64">N141</f>
        <v>4752151.0100000007</v>
      </c>
      <c r="O140" s="105">
        <f t="shared" si="64"/>
        <v>4752151.0100000007</v>
      </c>
      <c r="P140" s="157">
        <f t="shared" si="62"/>
        <v>1</v>
      </c>
    </row>
    <row r="141" spans="1:16" s="101" customFormat="1" ht="47.25" x14ac:dyDescent="0.2">
      <c r="A141" s="96" t="s">
        <v>204</v>
      </c>
      <c r="B141" s="97" t="s">
        <v>80</v>
      </c>
      <c r="C141" s="97" t="s">
        <v>21</v>
      </c>
      <c r="D141" s="97" t="s">
        <v>203</v>
      </c>
      <c r="E141" s="97" t="s">
        <v>66</v>
      </c>
      <c r="F141" s="97" t="s">
        <v>32</v>
      </c>
      <c r="G141" s="97" t="s">
        <v>34</v>
      </c>
      <c r="H141" s="97" t="s">
        <v>285</v>
      </c>
      <c r="I141" s="97" t="s">
        <v>144</v>
      </c>
      <c r="J141" s="98" t="s">
        <v>94</v>
      </c>
      <c r="K141" s="98">
        <v>2.2930000000000001</v>
      </c>
      <c r="L141" s="98">
        <v>2018</v>
      </c>
      <c r="M141" s="99">
        <f>6462249-1348661.76-360961.22-475.01</f>
        <v>4752151.0100000007</v>
      </c>
      <c r="N141" s="99">
        <f>6462249-1348661.76-360961.22-475.01</f>
        <v>4752151.0100000007</v>
      </c>
      <c r="O141" s="99">
        <f>6462249-1348661.76-360961.22-475.01</f>
        <v>4752151.0100000007</v>
      </c>
      <c r="P141" s="156">
        <f t="shared" si="62"/>
        <v>1</v>
      </c>
    </row>
    <row r="142" spans="1:16" s="101" customFormat="1" ht="31.5" x14ac:dyDescent="0.2">
      <c r="A142" s="112" t="s">
        <v>205</v>
      </c>
      <c r="B142" s="129" t="s">
        <v>0</v>
      </c>
      <c r="C142" s="129" t="s">
        <v>0</v>
      </c>
      <c r="D142" s="129" t="s">
        <v>0</v>
      </c>
      <c r="E142" s="129" t="s">
        <v>0</v>
      </c>
      <c r="F142" s="129" t="s">
        <v>0</v>
      </c>
      <c r="G142" s="129" t="s">
        <v>0</v>
      </c>
      <c r="H142" s="129" t="s">
        <v>0</v>
      </c>
      <c r="I142" s="129" t="s">
        <v>0</v>
      </c>
      <c r="J142" s="129" t="s">
        <v>0</v>
      </c>
      <c r="K142" s="129" t="s">
        <v>0</v>
      </c>
      <c r="L142" s="129" t="s">
        <v>0</v>
      </c>
      <c r="M142" s="105">
        <f>M143</f>
        <v>977534.44000000006</v>
      </c>
      <c r="N142" s="105">
        <f t="shared" ref="N142:O142" si="65">N143</f>
        <v>977534.44000000006</v>
      </c>
      <c r="O142" s="105">
        <f t="shared" si="65"/>
        <v>977534.44000000006</v>
      </c>
      <c r="P142" s="157">
        <f t="shared" si="62"/>
        <v>1</v>
      </c>
    </row>
    <row r="143" spans="1:16" s="101" customFormat="1" ht="63" x14ac:dyDescent="0.2">
      <c r="A143" s="96" t="s">
        <v>349</v>
      </c>
      <c r="B143" s="97" t="s">
        <v>80</v>
      </c>
      <c r="C143" s="97" t="s">
        <v>21</v>
      </c>
      <c r="D143" s="97" t="s">
        <v>203</v>
      </c>
      <c r="E143" s="97" t="s">
        <v>66</v>
      </c>
      <c r="F143" s="97" t="s">
        <v>32</v>
      </c>
      <c r="G143" s="97" t="s">
        <v>34</v>
      </c>
      <c r="H143" s="97" t="s">
        <v>285</v>
      </c>
      <c r="I143" s="97" t="s">
        <v>144</v>
      </c>
      <c r="J143" s="98" t="s">
        <v>94</v>
      </c>
      <c r="K143" s="145">
        <v>1.21</v>
      </c>
      <c r="L143" s="98">
        <v>2018</v>
      </c>
      <c r="M143" s="99">
        <f>1332116-172083.15-154666-27832.41</f>
        <v>977534.44000000006</v>
      </c>
      <c r="N143" s="99">
        <f>1332116-172083.15-154666-27832.41</f>
        <v>977534.44000000006</v>
      </c>
      <c r="O143" s="99">
        <f>1332116-172083.15-154666-27832.41</f>
        <v>977534.44000000006</v>
      </c>
      <c r="P143" s="156">
        <f t="shared" si="62"/>
        <v>1</v>
      </c>
    </row>
    <row r="144" spans="1:16" s="101" customFormat="1" ht="31.5" x14ac:dyDescent="0.2">
      <c r="A144" s="112" t="s">
        <v>187</v>
      </c>
      <c r="B144" s="129" t="s">
        <v>0</v>
      </c>
      <c r="C144" s="129" t="s">
        <v>0</v>
      </c>
      <c r="D144" s="129" t="s">
        <v>0</v>
      </c>
      <c r="E144" s="129" t="s">
        <v>0</v>
      </c>
      <c r="F144" s="129" t="s">
        <v>0</v>
      </c>
      <c r="G144" s="129" t="s">
        <v>0</v>
      </c>
      <c r="H144" s="129" t="s">
        <v>0</v>
      </c>
      <c r="I144" s="129" t="s">
        <v>0</v>
      </c>
      <c r="J144" s="129" t="s">
        <v>0</v>
      </c>
      <c r="K144" s="129" t="s">
        <v>0</v>
      </c>
      <c r="L144" s="129" t="s">
        <v>0</v>
      </c>
      <c r="M144" s="105">
        <f>M145</f>
        <v>6494201.5200000005</v>
      </c>
      <c r="N144" s="105">
        <f t="shared" ref="N144:O144" si="66">N145</f>
        <v>6494201.5200000005</v>
      </c>
      <c r="O144" s="105">
        <f t="shared" si="66"/>
        <v>6494201.5200000005</v>
      </c>
      <c r="P144" s="157">
        <f t="shared" si="62"/>
        <v>1</v>
      </c>
    </row>
    <row r="145" spans="1:16" s="101" customFormat="1" ht="63" x14ac:dyDescent="0.2">
      <c r="A145" s="96" t="s">
        <v>206</v>
      </c>
      <c r="B145" s="97" t="s">
        <v>80</v>
      </c>
      <c r="C145" s="97" t="s">
        <v>21</v>
      </c>
      <c r="D145" s="97" t="s">
        <v>203</v>
      </c>
      <c r="E145" s="97" t="s">
        <v>66</v>
      </c>
      <c r="F145" s="97" t="s">
        <v>32</v>
      </c>
      <c r="G145" s="97" t="s">
        <v>34</v>
      </c>
      <c r="H145" s="97" t="s">
        <v>285</v>
      </c>
      <c r="I145" s="97" t="s">
        <v>144</v>
      </c>
      <c r="J145" s="98" t="s">
        <v>94</v>
      </c>
      <c r="K145" s="98">
        <v>3.7330000000000001</v>
      </c>
      <c r="L145" s="98">
        <v>2018</v>
      </c>
      <c r="M145" s="99">
        <f>6812408+27832.41-230736.06-115302.83</f>
        <v>6494201.5200000005</v>
      </c>
      <c r="N145" s="99">
        <f>6812408+27832.41-230736.06-115302.83</f>
        <v>6494201.5200000005</v>
      </c>
      <c r="O145" s="99">
        <f>6812408+27832.41-230736.06-115302.83</f>
        <v>6494201.5200000005</v>
      </c>
      <c r="P145" s="156">
        <f t="shared" si="62"/>
        <v>1</v>
      </c>
    </row>
    <row r="146" spans="1:16" s="101" customFormat="1" ht="31.5" x14ac:dyDescent="0.2">
      <c r="A146" s="112" t="s">
        <v>238</v>
      </c>
      <c r="B146" s="129" t="s">
        <v>0</v>
      </c>
      <c r="C146" s="129" t="s">
        <v>0</v>
      </c>
      <c r="D146" s="129" t="s">
        <v>0</v>
      </c>
      <c r="E146" s="129" t="s">
        <v>0</v>
      </c>
      <c r="F146" s="129" t="s">
        <v>0</v>
      </c>
      <c r="G146" s="129" t="s">
        <v>0</v>
      </c>
      <c r="H146" s="129" t="s">
        <v>0</v>
      </c>
      <c r="I146" s="129" t="s">
        <v>0</v>
      </c>
      <c r="J146" s="129" t="s">
        <v>0</v>
      </c>
      <c r="K146" s="129" t="s">
        <v>0</v>
      </c>
      <c r="L146" s="129" t="s">
        <v>0</v>
      </c>
      <c r="M146" s="105">
        <f>M147</f>
        <v>6662220.5999999987</v>
      </c>
      <c r="N146" s="105">
        <f t="shared" ref="N146:O146" si="67">N147</f>
        <v>4138769.23</v>
      </c>
      <c r="O146" s="105">
        <f t="shared" si="67"/>
        <v>4138769.23</v>
      </c>
      <c r="P146" s="157">
        <f t="shared" si="62"/>
        <v>0.62122968879175222</v>
      </c>
    </row>
    <row r="147" spans="1:16" s="101" customFormat="1" ht="47.25" x14ac:dyDescent="0.2">
      <c r="A147" s="96" t="s">
        <v>239</v>
      </c>
      <c r="B147" s="97" t="s">
        <v>80</v>
      </c>
      <c r="C147" s="97" t="s">
        <v>21</v>
      </c>
      <c r="D147" s="97" t="s">
        <v>203</v>
      </c>
      <c r="E147" s="97" t="s">
        <v>66</v>
      </c>
      <c r="F147" s="97" t="s">
        <v>32</v>
      </c>
      <c r="G147" s="97" t="s">
        <v>34</v>
      </c>
      <c r="H147" s="97" t="s">
        <v>285</v>
      </c>
      <c r="I147" s="97" t="s">
        <v>144</v>
      </c>
      <c r="J147" s="98" t="s">
        <v>94</v>
      </c>
      <c r="K147" s="98">
        <v>5.8579999999999997</v>
      </c>
      <c r="L147" s="98">
        <v>2018</v>
      </c>
      <c r="M147" s="99">
        <f>2707755.98+6088767.3-2006245.15-128057.53</f>
        <v>6662220.5999999987</v>
      </c>
      <c r="N147" s="99">
        <v>4138769.23</v>
      </c>
      <c r="O147" s="99">
        <v>4138769.23</v>
      </c>
      <c r="P147" s="156">
        <f t="shared" si="62"/>
        <v>0.62122968879175222</v>
      </c>
    </row>
    <row r="148" spans="1:16" s="101" customFormat="1" ht="15.75" x14ac:dyDescent="0.2">
      <c r="A148" s="112" t="s">
        <v>194</v>
      </c>
      <c r="B148" s="129" t="s">
        <v>0</v>
      </c>
      <c r="C148" s="129" t="s">
        <v>0</v>
      </c>
      <c r="D148" s="129" t="s">
        <v>0</v>
      </c>
      <c r="E148" s="129" t="s">
        <v>0</v>
      </c>
      <c r="F148" s="129" t="s">
        <v>0</v>
      </c>
      <c r="G148" s="129" t="s">
        <v>0</v>
      </c>
      <c r="H148" s="129" t="s">
        <v>0</v>
      </c>
      <c r="I148" s="129" t="s">
        <v>0</v>
      </c>
      <c r="J148" s="129" t="s">
        <v>0</v>
      </c>
      <c r="K148" s="129" t="s">
        <v>0</v>
      </c>
      <c r="L148" s="129" t="s">
        <v>0</v>
      </c>
      <c r="M148" s="105">
        <f>M149</f>
        <v>7761663.4000000004</v>
      </c>
      <c r="N148" s="105">
        <f t="shared" ref="N148:O148" si="68">N149</f>
        <v>7699520.0899999999</v>
      </c>
      <c r="O148" s="105">
        <f t="shared" si="68"/>
        <v>7699520.0899999999</v>
      </c>
      <c r="P148" s="157">
        <f t="shared" si="62"/>
        <v>0.99199355772114517</v>
      </c>
    </row>
    <row r="149" spans="1:16" s="101" customFormat="1" ht="47.25" x14ac:dyDescent="0.2">
      <c r="A149" s="96" t="s">
        <v>207</v>
      </c>
      <c r="B149" s="97" t="s">
        <v>80</v>
      </c>
      <c r="C149" s="97" t="s">
        <v>21</v>
      </c>
      <c r="D149" s="97" t="s">
        <v>203</v>
      </c>
      <c r="E149" s="97" t="s">
        <v>66</v>
      </c>
      <c r="F149" s="97" t="s">
        <v>32</v>
      </c>
      <c r="G149" s="97" t="s">
        <v>34</v>
      </c>
      <c r="H149" s="97" t="s">
        <v>285</v>
      </c>
      <c r="I149" s="97" t="s">
        <v>144</v>
      </c>
      <c r="J149" s="98" t="s">
        <v>94</v>
      </c>
      <c r="K149" s="98">
        <v>10.367000000000001</v>
      </c>
      <c r="L149" s="98">
        <v>2018</v>
      </c>
      <c r="M149" s="99">
        <f>8537849-776185.6</f>
        <v>7761663.4000000004</v>
      </c>
      <c r="N149" s="99">
        <v>7699520.0899999999</v>
      </c>
      <c r="O149" s="99">
        <v>7699520.0899999999</v>
      </c>
      <c r="P149" s="156">
        <f t="shared" si="62"/>
        <v>0.99199355772114517</v>
      </c>
    </row>
    <row r="150" spans="1:16" s="101" customFormat="1" ht="31.5" x14ac:dyDescent="0.2">
      <c r="A150" s="112" t="s">
        <v>208</v>
      </c>
      <c r="B150" s="113" t="s">
        <v>80</v>
      </c>
      <c r="C150" s="113" t="s">
        <v>21</v>
      </c>
      <c r="D150" s="113" t="s">
        <v>209</v>
      </c>
      <c r="E150" s="113" t="s">
        <v>0</v>
      </c>
      <c r="F150" s="113" t="s">
        <v>0</v>
      </c>
      <c r="G150" s="113" t="s">
        <v>0</v>
      </c>
      <c r="H150" s="114" t="s">
        <v>0</v>
      </c>
      <c r="I150" s="114" t="s">
        <v>0</v>
      </c>
      <c r="J150" s="114" t="s">
        <v>0</v>
      </c>
      <c r="K150" s="114" t="s">
        <v>0</v>
      </c>
      <c r="L150" s="114" t="s">
        <v>0</v>
      </c>
      <c r="M150" s="105">
        <f t="shared" ref="M150:O156" si="69">M151</f>
        <v>4500000</v>
      </c>
      <c r="N150" s="105">
        <f t="shared" si="69"/>
        <v>1873837.95</v>
      </c>
      <c r="O150" s="105">
        <f t="shared" si="69"/>
        <v>1873837.95</v>
      </c>
      <c r="P150" s="157">
        <f t="shared" si="62"/>
        <v>0.41640843333333333</v>
      </c>
    </row>
    <row r="151" spans="1:16" s="101" customFormat="1" ht="31.5" x14ac:dyDescent="0.2">
      <c r="A151" s="112" t="s">
        <v>288</v>
      </c>
      <c r="B151" s="113" t="s">
        <v>80</v>
      </c>
      <c r="C151" s="113" t="s">
        <v>21</v>
      </c>
      <c r="D151" s="113" t="s">
        <v>209</v>
      </c>
      <c r="E151" s="113" t="s">
        <v>66</v>
      </c>
      <c r="F151" s="113" t="s">
        <v>0</v>
      </c>
      <c r="G151" s="113" t="s">
        <v>0</v>
      </c>
      <c r="H151" s="114" t="s">
        <v>0</v>
      </c>
      <c r="I151" s="114" t="s">
        <v>0</v>
      </c>
      <c r="J151" s="114" t="s">
        <v>0</v>
      </c>
      <c r="K151" s="114" t="s">
        <v>0</v>
      </c>
      <c r="L151" s="114" t="s">
        <v>0</v>
      </c>
      <c r="M151" s="105">
        <f t="shared" si="69"/>
        <v>4500000</v>
      </c>
      <c r="N151" s="105">
        <f t="shared" si="69"/>
        <v>1873837.95</v>
      </c>
      <c r="O151" s="105">
        <f t="shared" si="69"/>
        <v>1873837.95</v>
      </c>
      <c r="P151" s="157">
        <f t="shared" si="62"/>
        <v>0.41640843333333333</v>
      </c>
    </row>
    <row r="152" spans="1:16" s="101" customFormat="1" ht="15.75" x14ac:dyDescent="0.2">
      <c r="A152" s="115" t="s">
        <v>58</v>
      </c>
      <c r="B152" s="113" t="s">
        <v>80</v>
      </c>
      <c r="C152" s="113" t="s">
        <v>21</v>
      </c>
      <c r="D152" s="113" t="s">
        <v>209</v>
      </c>
      <c r="E152" s="113" t="s">
        <v>66</v>
      </c>
      <c r="F152" s="113" t="s">
        <v>59</v>
      </c>
      <c r="G152" s="113" t="s">
        <v>0</v>
      </c>
      <c r="H152" s="113" t="s">
        <v>0</v>
      </c>
      <c r="I152" s="113" t="s">
        <v>0</v>
      </c>
      <c r="J152" s="113" t="s">
        <v>0</v>
      </c>
      <c r="K152" s="113" t="s">
        <v>0</v>
      </c>
      <c r="L152" s="113" t="s">
        <v>0</v>
      </c>
      <c r="M152" s="105">
        <f t="shared" si="69"/>
        <v>4500000</v>
      </c>
      <c r="N152" s="105">
        <f t="shared" si="69"/>
        <v>1873837.95</v>
      </c>
      <c r="O152" s="105">
        <f t="shared" si="69"/>
        <v>1873837.95</v>
      </c>
      <c r="P152" s="157">
        <f t="shared" si="62"/>
        <v>0.41640843333333333</v>
      </c>
    </row>
    <row r="153" spans="1:16" s="101" customFormat="1" ht="15.75" x14ac:dyDescent="0.2">
      <c r="A153" s="115" t="s">
        <v>60</v>
      </c>
      <c r="B153" s="113" t="s">
        <v>80</v>
      </c>
      <c r="C153" s="113" t="s">
        <v>21</v>
      </c>
      <c r="D153" s="113" t="s">
        <v>209</v>
      </c>
      <c r="E153" s="113" t="s">
        <v>66</v>
      </c>
      <c r="F153" s="113" t="s">
        <v>59</v>
      </c>
      <c r="G153" s="113" t="s">
        <v>61</v>
      </c>
      <c r="H153" s="113" t="s">
        <v>0</v>
      </c>
      <c r="I153" s="113" t="s">
        <v>0</v>
      </c>
      <c r="J153" s="113" t="s">
        <v>0</v>
      </c>
      <c r="K153" s="113" t="s">
        <v>0</v>
      </c>
      <c r="L153" s="113" t="s">
        <v>0</v>
      </c>
      <c r="M153" s="105">
        <f t="shared" si="69"/>
        <v>4500000</v>
      </c>
      <c r="N153" s="105">
        <f t="shared" si="69"/>
        <v>1873837.95</v>
      </c>
      <c r="O153" s="105">
        <f t="shared" si="69"/>
        <v>1873837.95</v>
      </c>
      <c r="P153" s="157">
        <f t="shared" si="62"/>
        <v>0.41640843333333333</v>
      </c>
    </row>
    <row r="154" spans="1:16" s="101" customFormat="1" ht="47.25" x14ac:dyDescent="0.2">
      <c r="A154" s="112" t="s">
        <v>152</v>
      </c>
      <c r="B154" s="113" t="s">
        <v>80</v>
      </c>
      <c r="C154" s="113" t="s">
        <v>21</v>
      </c>
      <c r="D154" s="113" t="s">
        <v>209</v>
      </c>
      <c r="E154" s="113" t="s">
        <v>66</v>
      </c>
      <c r="F154" s="113" t="s">
        <v>59</v>
      </c>
      <c r="G154" s="113" t="s">
        <v>61</v>
      </c>
      <c r="H154" s="113" t="s">
        <v>153</v>
      </c>
      <c r="I154" s="114" t="s">
        <v>0</v>
      </c>
      <c r="J154" s="114" t="s">
        <v>0</v>
      </c>
      <c r="K154" s="114" t="s">
        <v>0</v>
      </c>
      <c r="L154" s="114" t="s">
        <v>0</v>
      </c>
      <c r="M154" s="105">
        <f t="shared" si="69"/>
        <v>4500000</v>
      </c>
      <c r="N154" s="105">
        <f t="shared" si="69"/>
        <v>1873837.95</v>
      </c>
      <c r="O154" s="105">
        <f t="shared" si="69"/>
        <v>1873837.95</v>
      </c>
      <c r="P154" s="157">
        <f t="shared" si="62"/>
        <v>0.41640843333333333</v>
      </c>
    </row>
    <row r="155" spans="1:16" s="101" customFormat="1" ht="63" x14ac:dyDescent="0.2">
      <c r="A155" s="112" t="s">
        <v>290</v>
      </c>
      <c r="B155" s="113" t="s">
        <v>80</v>
      </c>
      <c r="C155" s="113" t="s">
        <v>21</v>
      </c>
      <c r="D155" s="113" t="s">
        <v>209</v>
      </c>
      <c r="E155" s="113" t="s">
        <v>66</v>
      </c>
      <c r="F155" s="113" t="s">
        <v>59</v>
      </c>
      <c r="G155" s="113" t="s">
        <v>61</v>
      </c>
      <c r="H155" s="113" t="s">
        <v>153</v>
      </c>
      <c r="I155" s="113" t="s">
        <v>144</v>
      </c>
      <c r="J155" s="113" t="s">
        <v>0</v>
      </c>
      <c r="K155" s="113" t="s">
        <v>0</v>
      </c>
      <c r="L155" s="113" t="s">
        <v>0</v>
      </c>
      <c r="M155" s="105">
        <f t="shared" si="69"/>
        <v>4500000</v>
      </c>
      <c r="N155" s="105">
        <f t="shared" si="69"/>
        <v>1873837.95</v>
      </c>
      <c r="O155" s="105">
        <f t="shared" si="69"/>
        <v>1873837.95</v>
      </c>
      <c r="P155" s="157">
        <f t="shared" si="62"/>
        <v>0.41640843333333333</v>
      </c>
    </row>
    <row r="156" spans="1:16" s="101" customFormat="1" ht="47.25" x14ac:dyDescent="0.2">
      <c r="A156" s="112" t="s">
        <v>454</v>
      </c>
      <c r="B156" s="129" t="s">
        <v>0</v>
      </c>
      <c r="C156" s="129" t="s">
        <v>0</v>
      </c>
      <c r="D156" s="129" t="s">
        <v>0</v>
      </c>
      <c r="E156" s="129" t="s">
        <v>0</v>
      </c>
      <c r="F156" s="129" t="s">
        <v>0</v>
      </c>
      <c r="G156" s="129" t="s">
        <v>0</v>
      </c>
      <c r="H156" s="129" t="s">
        <v>0</v>
      </c>
      <c r="I156" s="129" t="s">
        <v>0</v>
      </c>
      <c r="J156" s="129" t="s">
        <v>0</v>
      </c>
      <c r="K156" s="129" t="s">
        <v>0</v>
      </c>
      <c r="L156" s="129" t="s">
        <v>0</v>
      </c>
      <c r="M156" s="105">
        <f t="shared" si="69"/>
        <v>4500000</v>
      </c>
      <c r="N156" s="105">
        <f t="shared" si="69"/>
        <v>1873837.95</v>
      </c>
      <c r="O156" s="105">
        <f t="shared" si="69"/>
        <v>1873837.95</v>
      </c>
      <c r="P156" s="157">
        <f t="shared" si="62"/>
        <v>0.41640843333333333</v>
      </c>
    </row>
    <row r="157" spans="1:16" s="101" customFormat="1" ht="31.5" x14ac:dyDescent="0.2">
      <c r="A157" s="96" t="s">
        <v>210</v>
      </c>
      <c r="B157" s="97" t="s">
        <v>80</v>
      </c>
      <c r="C157" s="97" t="s">
        <v>21</v>
      </c>
      <c r="D157" s="97" t="s">
        <v>209</v>
      </c>
      <c r="E157" s="97" t="s">
        <v>66</v>
      </c>
      <c r="F157" s="97" t="s">
        <v>59</v>
      </c>
      <c r="G157" s="97" t="s">
        <v>61</v>
      </c>
      <c r="H157" s="97" t="s">
        <v>153</v>
      </c>
      <c r="I157" s="97" t="s">
        <v>144</v>
      </c>
      <c r="J157" s="98" t="s">
        <v>76</v>
      </c>
      <c r="K157" s="98" t="s">
        <v>211</v>
      </c>
      <c r="L157" s="98">
        <v>2019</v>
      </c>
      <c r="M157" s="99">
        <f>50500990.05-46000990.05</f>
        <v>4500000</v>
      </c>
      <c r="N157" s="99">
        <v>1873837.95</v>
      </c>
      <c r="O157" s="99">
        <v>1873837.95</v>
      </c>
      <c r="P157" s="156">
        <f t="shared" si="62"/>
        <v>0.41640843333333333</v>
      </c>
    </row>
    <row r="158" spans="1:16" s="101" customFormat="1" ht="78.75" x14ac:dyDescent="0.2">
      <c r="A158" s="112" t="s">
        <v>212</v>
      </c>
      <c r="B158" s="113" t="s">
        <v>80</v>
      </c>
      <c r="C158" s="113" t="s">
        <v>21</v>
      </c>
      <c r="D158" s="113" t="s">
        <v>213</v>
      </c>
      <c r="E158" s="113" t="s">
        <v>0</v>
      </c>
      <c r="F158" s="113" t="s">
        <v>0</v>
      </c>
      <c r="G158" s="113" t="s">
        <v>0</v>
      </c>
      <c r="H158" s="114" t="s">
        <v>0</v>
      </c>
      <c r="I158" s="114" t="s">
        <v>0</v>
      </c>
      <c r="J158" s="114" t="s">
        <v>0</v>
      </c>
      <c r="K158" s="114" t="s">
        <v>0</v>
      </c>
      <c r="L158" s="114" t="s">
        <v>0</v>
      </c>
      <c r="M158" s="105">
        <f t="shared" ref="M158:M163" si="70">M159</f>
        <v>34013913.039999999</v>
      </c>
      <c r="N158" s="105">
        <f t="shared" ref="N158:O158" si="71">N159</f>
        <v>33586048.420000002</v>
      </c>
      <c r="O158" s="105">
        <f t="shared" si="71"/>
        <v>33586048.420000002</v>
      </c>
      <c r="P158" s="157">
        <f t="shared" si="62"/>
        <v>0.98742089392958599</v>
      </c>
    </row>
    <row r="159" spans="1:16" s="101" customFormat="1" ht="31.5" x14ac:dyDescent="0.2">
      <c r="A159" s="112" t="s">
        <v>82</v>
      </c>
      <c r="B159" s="113" t="s">
        <v>80</v>
      </c>
      <c r="C159" s="113" t="s">
        <v>21</v>
      </c>
      <c r="D159" s="113" t="s">
        <v>213</v>
      </c>
      <c r="E159" s="113" t="s">
        <v>83</v>
      </c>
      <c r="F159" s="113" t="s">
        <v>0</v>
      </c>
      <c r="G159" s="113" t="s">
        <v>0</v>
      </c>
      <c r="H159" s="114" t="s">
        <v>0</v>
      </c>
      <c r="I159" s="114" t="s">
        <v>0</v>
      </c>
      <c r="J159" s="114" t="s">
        <v>0</v>
      </c>
      <c r="K159" s="114" t="s">
        <v>0</v>
      </c>
      <c r="L159" s="114" t="s">
        <v>0</v>
      </c>
      <c r="M159" s="105">
        <f t="shared" si="70"/>
        <v>34013913.039999999</v>
      </c>
      <c r="N159" s="105">
        <f t="shared" ref="N159:O163" si="72">N160</f>
        <v>33586048.420000002</v>
      </c>
      <c r="O159" s="105">
        <f t="shared" si="72"/>
        <v>33586048.420000002</v>
      </c>
      <c r="P159" s="157">
        <f t="shared" si="62"/>
        <v>0.98742089392958599</v>
      </c>
    </row>
    <row r="160" spans="1:16" s="101" customFormat="1" ht="15.75" x14ac:dyDescent="0.2">
      <c r="A160" s="115" t="s">
        <v>84</v>
      </c>
      <c r="B160" s="113" t="s">
        <v>80</v>
      </c>
      <c r="C160" s="113" t="s">
        <v>21</v>
      </c>
      <c r="D160" s="113" t="s">
        <v>213</v>
      </c>
      <c r="E160" s="113" t="s">
        <v>83</v>
      </c>
      <c r="F160" s="113" t="s">
        <v>85</v>
      </c>
      <c r="G160" s="113" t="s">
        <v>0</v>
      </c>
      <c r="H160" s="113" t="s">
        <v>0</v>
      </c>
      <c r="I160" s="113" t="s">
        <v>0</v>
      </c>
      <c r="J160" s="113" t="s">
        <v>0</v>
      </c>
      <c r="K160" s="113" t="s">
        <v>0</v>
      </c>
      <c r="L160" s="113" t="s">
        <v>0</v>
      </c>
      <c r="M160" s="105">
        <f t="shared" si="70"/>
        <v>34013913.039999999</v>
      </c>
      <c r="N160" s="105">
        <f t="shared" si="72"/>
        <v>33586048.420000002</v>
      </c>
      <c r="O160" s="105">
        <f t="shared" si="72"/>
        <v>33586048.420000002</v>
      </c>
      <c r="P160" s="157">
        <f t="shared" si="62"/>
        <v>0.98742089392958599</v>
      </c>
    </row>
    <row r="161" spans="1:16" s="101" customFormat="1" ht="31.5" x14ac:dyDescent="0.2">
      <c r="A161" s="115" t="s">
        <v>86</v>
      </c>
      <c r="B161" s="113" t="s">
        <v>80</v>
      </c>
      <c r="C161" s="113" t="s">
        <v>21</v>
      </c>
      <c r="D161" s="113" t="s">
        <v>213</v>
      </c>
      <c r="E161" s="113" t="s">
        <v>83</v>
      </c>
      <c r="F161" s="113" t="s">
        <v>85</v>
      </c>
      <c r="G161" s="113" t="s">
        <v>32</v>
      </c>
      <c r="H161" s="113" t="s">
        <v>0</v>
      </c>
      <c r="I161" s="113" t="s">
        <v>0</v>
      </c>
      <c r="J161" s="113" t="s">
        <v>0</v>
      </c>
      <c r="K161" s="113" t="s">
        <v>0</v>
      </c>
      <c r="L161" s="113" t="s">
        <v>0</v>
      </c>
      <c r="M161" s="105">
        <f t="shared" si="70"/>
        <v>34013913.039999999</v>
      </c>
      <c r="N161" s="105">
        <f t="shared" si="72"/>
        <v>33586048.420000002</v>
      </c>
      <c r="O161" s="105">
        <f t="shared" si="72"/>
        <v>33586048.420000002</v>
      </c>
      <c r="P161" s="157">
        <f t="shared" si="62"/>
        <v>0.98742089392958599</v>
      </c>
    </row>
    <row r="162" spans="1:16" s="101" customFormat="1" ht="31.5" x14ac:dyDescent="0.2">
      <c r="A162" s="112" t="s">
        <v>92</v>
      </c>
      <c r="B162" s="113" t="s">
        <v>80</v>
      </c>
      <c r="C162" s="113" t="s">
        <v>21</v>
      </c>
      <c r="D162" s="113" t="s">
        <v>213</v>
      </c>
      <c r="E162" s="113" t="s">
        <v>83</v>
      </c>
      <c r="F162" s="113" t="s">
        <v>85</v>
      </c>
      <c r="G162" s="113" t="s">
        <v>32</v>
      </c>
      <c r="H162" s="113" t="s">
        <v>285</v>
      </c>
      <c r="I162" s="114" t="s">
        <v>0</v>
      </c>
      <c r="J162" s="114" t="s">
        <v>0</v>
      </c>
      <c r="K162" s="114" t="s">
        <v>0</v>
      </c>
      <c r="L162" s="114" t="s">
        <v>0</v>
      </c>
      <c r="M162" s="105">
        <f t="shared" si="70"/>
        <v>34013913.039999999</v>
      </c>
      <c r="N162" s="105">
        <f t="shared" si="72"/>
        <v>33586048.420000002</v>
      </c>
      <c r="O162" s="105">
        <f t="shared" si="72"/>
        <v>33586048.420000002</v>
      </c>
      <c r="P162" s="157">
        <f t="shared" si="62"/>
        <v>0.98742089392958599</v>
      </c>
    </row>
    <row r="163" spans="1:16" s="101" customFormat="1" ht="63" x14ac:dyDescent="0.2">
      <c r="A163" s="112" t="s">
        <v>290</v>
      </c>
      <c r="B163" s="113" t="s">
        <v>80</v>
      </c>
      <c r="C163" s="113" t="s">
        <v>21</v>
      </c>
      <c r="D163" s="113" t="s">
        <v>213</v>
      </c>
      <c r="E163" s="113" t="s">
        <v>83</v>
      </c>
      <c r="F163" s="113" t="s">
        <v>85</v>
      </c>
      <c r="G163" s="113" t="s">
        <v>32</v>
      </c>
      <c r="H163" s="113" t="s">
        <v>285</v>
      </c>
      <c r="I163" s="113" t="s">
        <v>144</v>
      </c>
      <c r="J163" s="113" t="s">
        <v>0</v>
      </c>
      <c r="K163" s="113" t="s">
        <v>0</v>
      </c>
      <c r="L163" s="113" t="s">
        <v>0</v>
      </c>
      <c r="M163" s="105">
        <f t="shared" si="70"/>
        <v>34013913.039999999</v>
      </c>
      <c r="N163" s="105">
        <f t="shared" si="72"/>
        <v>33586048.420000002</v>
      </c>
      <c r="O163" s="105">
        <f t="shared" si="72"/>
        <v>33586048.420000002</v>
      </c>
      <c r="P163" s="157">
        <f t="shared" si="62"/>
        <v>0.98742089392958599</v>
      </c>
    </row>
    <row r="164" spans="1:16" s="101" customFormat="1" ht="31.5" x14ac:dyDescent="0.2">
      <c r="A164" s="112" t="s">
        <v>275</v>
      </c>
      <c r="B164" s="129" t="s">
        <v>0</v>
      </c>
      <c r="C164" s="129" t="s">
        <v>0</v>
      </c>
      <c r="D164" s="129" t="s">
        <v>0</v>
      </c>
      <c r="E164" s="129" t="s">
        <v>0</v>
      </c>
      <c r="F164" s="129" t="s">
        <v>0</v>
      </c>
      <c r="G164" s="129" t="s">
        <v>0</v>
      </c>
      <c r="H164" s="129" t="s">
        <v>0</v>
      </c>
      <c r="I164" s="129" t="s">
        <v>0</v>
      </c>
      <c r="J164" s="129" t="s">
        <v>0</v>
      </c>
      <c r="K164" s="129" t="s">
        <v>0</v>
      </c>
      <c r="L164" s="129" t="s">
        <v>0</v>
      </c>
      <c r="M164" s="105">
        <f>M165+M166</f>
        <v>34013913.039999999</v>
      </c>
      <c r="N164" s="105">
        <f t="shared" ref="N164:O164" si="73">N165+N166</f>
        <v>33586048.420000002</v>
      </c>
      <c r="O164" s="105">
        <f t="shared" si="73"/>
        <v>33586048.420000002</v>
      </c>
      <c r="P164" s="157">
        <f t="shared" si="62"/>
        <v>0.98742089392958599</v>
      </c>
    </row>
    <row r="165" spans="1:16" s="101" customFormat="1" ht="63" x14ac:dyDescent="0.2">
      <c r="A165" s="96" t="s">
        <v>214</v>
      </c>
      <c r="B165" s="97" t="s">
        <v>80</v>
      </c>
      <c r="C165" s="97" t="s">
        <v>21</v>
      </c>
      <c r="D165" s="97" t="s">
        <v>213</v>
      </c>
      <c r="E165" s="97" t="s">
        <v>83</v>
      </c>
      <c r="F165" s="97" t="s">
        <v>85</v>
      </c>
      <c r="G165" s="97" t="s">
        <v>32</v>
      </c>
      <c r="H165" s="97" t="s">
        <v>285</v>
      </c>
      <c r="I165" s="97" t="s">
        <v>144</v>
      </c>
      <c r="J165" s="98" t="s">
        <v>215</v>
      </c>
      <c r="K165" s="98" t="s">
        <v>216</v>
      </c>
      <c r="L165" s="98">
        <v>2018</v>
      </c>
      <c r="M165" s="99">
        <v>4772509.78</v>
      </c>
      <c r="N165" s="99">
        <v>4714074.5999999996</v>
      </c>
      <c r="O165" s="99">
        <v>4714074.5999999996</v>
      </c>
      <c r="P165" s="156">
        <f t="shared" si="62"/>
        <v>0.98775588051283147</v>
      </c>
    </row>
    <row r="166" spans="1:16" s="101" customFormat="1" ht="78.75" x14ac:dyDescent="0.2">
      <c r="A166" s="96" t="s">
        <v>217</v>
      </c>
      <c r="B166" s="97" t="s">
        <v>80</v>
      </c>
      <c r="C166" s="97" t="s">
        <v>21</v>
      </c>
      <c r="D166" s="97" t="s">
        <v>213</v>
      </c>
      <c r="E166" s="97" t="s">
        <v>83</v>
      </c>
      <c r="F166" s="97" t="s">
        <v>85</v>
      </c>
      <c r="G166" s="97" t="s">
        <v>32</v>
      </c>
      <c r="H166" s="97" t="s">
        <v>285</v>
      </c>
      <c r="I166" s="97" t="s">
        <v>144</v>
      </c>
      <c r="J166" s="98" t="s">
        <v>215</v>
      </c>
      <c r="K166" s="98" t="s">
        <v>218</v>
      </c>
      <c r="L166" s="98">
        <v>2018</v>
      </c>
      <c r="M166" s="99">
        <v>29241403.260000002</v>
      </c>
      <c r="N166" s="99">
        <v>28871973.82</v>
      </c>
      <c r="O166" s="99">
        <v>28871973.82</v>
      </c>
      <c r="P166" s="156">
        <f t="shared" si="62"/>
        <v>0.98736622053616174</v>
      </c>
    </row>
    <row r="167" spans="1:16" s="101" customFormat="1" ht="94.5" x14ac:dyDescent="0.2">
      <c r="A167" s="112" t="s">
        <v>88</v>
      </c>
      <c r="B167" s="113" t="s">
        <v>80</v>
      </c>
      <c r="C167" s="113" t="s">
        <v>21</v>
      </c>
      <c r="D167" s="113" t="s">
        <v>89</v>
      </c>
      <c r="E167" s="113" t="s">
        <v>0</v>
      </c>
      <c r="F167" s="113" t="s">
        <v>0</v>
      </c>
      <c r="G167" s="113" t="s">
        <v>0</v>
      </c>
      <c r="H167" s="114" t="s">
        <v>0</v>
      </c>
      <c r="I167" s="114" t="s">
        <v>0</v>
      </c>
      <c r="J167" s="114" t="s">
        <v>0</v>
      </c>
      <c r="K167" s="114" t="s">
        <v>0</v>
      </c>
      <c r="L167" s="114" t="s">
        <v>0</v>
      </c>
      <c r="M167" s="105">
        <f>M168</f>
        <v>146214868</v>
      </c>
      <c r="N167" s="105">
        <f t="shared" ref="N167:O171" si="74">N168</f>
        <v>142368940.11999997</v>
      </c>
      <c r="O167" s="105">
        <f t="shared" si="74"/>
        <v>142368940.11999997</v>
      </c>
      <c r="P167" s="157">
        <f t="shared" si="62"/>
        <v>0.97369673869281181</v>
      </c>
    </row>
    <row r="168" spans="1:16" s="101" customFormat="1" ht="31.5" x14ac:dyDescent="0.2">
      <c r="A168" s="112" t="s">
        <v>288</v>
      </c>
      <c r="B168" s="113" t="s">
        <v>80</v>
      </c>
      <c r="C168" s="113" t="s">
        <v>21</v>
      </c>
      <c r="D168" s="113" t="s">
        <v>89</v>
      </c>
      <c r="E168" s="113" t="s">
        <v>66</v>
      </c>
      <c r="F168" s="113" t="s">
        <v>0</v>
      </c>
      <c r="G168" s="113" t="s">
        <v>0</v>
      </c>
      <c r="H168" s="114" t="s">
        <v>0</v>
      </c>
      <c r="I168" s="114" t="s">
        <v>0</v>
      </c>
      <c r="J168" s="114" t="s">
        <v>0</v>
      </c>
      <c r="K168" s="114" t="s">
        <v>0</v>
      </c>
      <c r="L168" s="114" t="s">
        <v>0</v>
      </c>
      <c r="M168" s="105">
        <f>M169</f>
        <v>146214868</v>
      </c>
      <c r="N168" s="105">
        <f t="shared" si="74"/>
        <v>142368940.11999997</v>
      </c>
      <c r="O168" s="105">
        <f t="shared" si="74"/>
        <v>142368940.11999997</v>
      </c>
      <c r="P168" s="157">
        <f t="shared" si="62"/>
        <v>0.97369673869281181</v>
      </c>
    </row>
    <row r="169" spans="1:16" s="101" customFormat="1" ht="15.75" x14ac:dyDescent="0.2">
      <c r="A169" s="115" t="s">
        <v>84</v>
      </c>
      <c r="B169" s="113" t="s">
        <v>80</v>
      </c>
      <c r="C169" s="113" t="s">
        <v>21</v>
      </c>
      <c r="D169" s="113" t="s">
        <v>89</v>
      </c>
      <c r="E169" s="113" t="s">
        <v>66</v>
      </c>
      <c r="F169" s="113" t="s">
        <v>85</v>
      </c>
      <c r="G169" s="113" t="s">
        <v>0</v>
      </c>
      <c r="H169" s="113" t="s">
        <v>0</v>
      </c>
      <c r="I169" s="113" t="s">
        <v>0</v>
      </c>
      <c r="J169" s="113" t="s">
        <v>0</v>
      </c>
      <c r="K169" s="113" t="s">
        <v>0</v>
      </c>
      <c r="L169" s="113" t="s">
        <v>0</v>
      </c>
      <c r="M169" s="105">
        <f>M170</f>
        <v>146214868</v>
      </c>
      <c r="N169" s="105">
        <f t="shared" si="74"/>
        <v>142368940.11999997</v>
      </c>
      <c r="O169" s="105">
        <f t="shared" si="74"/>
        <v>142368940.11999997</v>
      </c>
      <c r="P169" s="157">
        <f t="shared" si="62"/>
        <v>0.97369673869281181</v>
      </c>
    </row>
    <row r="170" spans="1:16" s="101" customFormat="1" ht="31.5" x14ac:dyDescent="0.2">
      <c r="A170" s="115" t="s">
        <v>90</v>
      </c>
      <c r="B170" s="113" t="s">
        <v>80</v>
      </c>
      <c r="C170" s="113" t="s">
        <v>21</v>
      </c>
      <c r="D170" s="113" t="s">
        <v>89</v>
      </c>
      <c r="E170" s="113" t="s">
        <v>66</v>
      </c>
      <c r="F170" s="113" t="s">
        <v>85</v>
      </c>
      <c r="G170" s="113" t="s">
        <v>91</v>
      </c>
      <c r="H170" s="113" t="s">
        <v>0</v>
      </c>
      <c r="I170" s="113" t="s">
        <v>0</v>
      </c>
      <c r="J170" s="113" t="s">
        <v>0</v>
      </c>
      <c r="K170" s="113" t="s">
        <v>0</v>
      </c>
      <c r="L170" s="113" t="s">
        <v>0</v>
      </c>
      <c r="M170" s="105">
        <f>M171</f>
        <v>146214868</v>
      </c>
      <c r="N170" s="105">
        <f t="shared" si="74"/>
        <v>142368940.11999997</v>
      </c>
      <c r="O170" s="105">
        <f t="shared" si="74"/>
        <v>142368940.11999997</v>
      </c>
      <c r="P170" s="157">
        <f t="shared" si="62"/>
        <v>0.97369673869281181</v>
      </c>
    </row>
    <row r="171" spans="1:16" s="101" customFormat="1" ht="31.5" x14ac:dyDescent="0.2">
      <c r="A171" s="112" t="s">
        <v>92</v>
      </c>
      <c r="B171" s="113" t="s">
        <v>80</v>
      </c>
      <c r="C171" s="113" t="s">
        <v>21</v>
      </c>
      <c r="D171" s="113" t="s">
        <v>89</v>
      </c>
      <c r="E171" s="113" t="s">
        <v>66</v>
      </c>
      <c r="F171" s="113" t="s">
        <v>85</v>
      </c>
      <c r="G171" s="113" t="s">
        <v>91</v>
      </c>
      <c r="H171" s="113" t="s">
        <v>285</v>
      </c>
      <c r="I171" s="114" t="s">
        <v>0</v>
      </c>
      <c r="J171" s="114" t="s">
        <v>0</v>
      </c>
      <c r="K171" s="114" t="s">
        <v>0</v>
      </c>
      <c r="L171" s="114" t="s">
        <v>0</v>
      </c>
      <c r="M171" s="105">
        <f>M172</f>
        <v>146214868</v>
      </c>
      <c r="N171" s="105">
        <f t="shared" si="74"/>
        <v>142368940.11999997</v>
      </c>
      <c r="O171" s="105">
        <f t="shared" si="74"/>
        <v>142368940.11999997</v>
      </c>
      <c r="P171" s="157">
        <f t="shared" si="62"/>
        <v>0.97369673869281181</v>
      </c>
    </row>
    <row r="172" spans="1:16" s="101" customFormat="1" ht="63" x14ac:dyDescent="0.2">
      <c r="A172" s="112" t="s">
        <v>290</v>
      </c>
      <c r="B172" s="113" t="s">
        <v>80</v>
      </c>
      <c r="C172" s="113" t="s">
        <v>21</v>
      </c>
      <c r="D172" s="113" t="s">
        <v>89</v>
      </c>
      <c r="E172" s="113" t="s">
        <v>66</v>
      </c>
      <c r="F172" s="113" t="s">
        <v>85</v>
      </c>
      <c r="G172" s="113" t="s">
        <v>91</v>
      </c>
      <c r="H172" s="113" t="s">
        <v>285</v>
      </c>
      <c r="I172" s="113" t="s">
        <v>144</v>
      </c>
      <c r="J172" s="113" t="s">
        <v>0</v>
      </c>
      <c r="K172" s="113" t="s">
        <v>0</v>
      </c>
      <c r="L172" s="113" t="s">
        <v>0</v>
      </c>
      <c r="M172" s="105">
        <f>M173+M175+M177+M179+M181+M183</f>
        <v>146214868</v>
      </c>
      <c r="N172" s="105">
        <f t="shared" ref="N172:O172" si="75">N173+N175+N177+N179+N181+N183</f>
        <v>142368940.11999997</v>
      </c>
      <c r="O172" s="105">
        <f t="shared" si="75"/>
        <v>142368940.11999997</v>
      </c>
      <c r="P172" s="157">
        <f t="shared" si="62"/>
        <v>0.97369673869281181</v>
      </c>
    </row>
    <row r="173" spans="1:16" s="101" customFormat="1" ht="15.75" x14ac:dyDescent="0.2">
      <c r="A173" s="112" t="s">
        <v>161</v>
      </c>
      <c r="B173" s="129" t="s">
        <v>0</v>
      </c>
      <c r="C173" s="129" t="s">
        <v>0</v>
      </c>
      <c r="D173" s="129" t="s">
        <v>0</v>
      </c>
      <c r="E173" s="129" t="s">
        <v>0</v>
      </c>
      <c r="F173" s="129" t="s">
        <v>0</v>
      </c>
      <c r="G173" s="129" t="s">
        <v>0</v>
      </c>
      <c r="H173" s="129" t="s">
        <v>0</v>
      </c>
      <c r="I173" s="129" t="s">
        <v>0</v>
      </c>
      <c r="J173" s="129" t="s">
        <v>0</v>
      </c>
      <c r="K173" s="129" t="s">
        <v>0</v>
      </c>
      <c r="L173" s="129" t="s">
        <v>0</v>
      </c>
      <c r="M173" s="105">
        <f>M174</f>
        <v>11411068</v>
      </c>
      <c r="N173" s="105">
        <f t="shared" ref="N173:O173" si="76">N174</f>
        <v>10798883.949999999</v>
      </c>
      <c r="O173" s="105">
        <f t="shared" si="76"/>
        <v>10798883.949999999</v>
      </c>
      <c r="P173" s="157">
        <f t="shared" si="62"/>
        <v>0.94635173061802802</v>
      </c>
    </row>
    <row r="174" spans="1:16" s="101" customFormat="1" ht="94.5" x14ac:dyDescent="0.2">
      <c r="A174" s="96" t="s">
        <v>219</v>
      </c>
      <c r="B174" s="97" t="s">
        <v>80</v>
      </c>
      <c r="C174" s="97" t="s">
        <v>21</v>
      </c>
      <c r="D174" s="97" t="s">
        <v>89</v>
      </c>
      <c r="E174" s="97" t="s">
        <v>66</v>
      </c>
      <c r="F174" s="97" t="s">
        <v>85</v>
      </c>
      <c r="G174" s="97" t="s">
        <v>91</v>
      </c>
      <c r="H174" s="97" t="s">
        <v>285</v>
      </c>
      <c r="I174" s="97" t="s">
        <v>144</v>
      </c>
      <c r="J174" s="98" t="s">
        <v>94</v>
      </c>
      <c r="K174" s="98">
        <v>1.2</v>
      </c>
      <c r="L174" s="98">
        <v>2018</v>
      </c>
      <c r="M174" s="99">
        <v>11411068</v>
      </c>
      <c r="N174" s="99">
        <v>10798883.949999999</v>
      </c>
      <c r="O174" s="99">
        <v>10798883.949999999</v>
      </c>
      <c r="P174" s="156">
        <f t="shared" si="62"/>
        <v>0.94635173061802802</v>
      </c>
    </row>
    <row r="175" spans="1:16" s="101" customFormat="1" ht="31.5" x14ac:dyDescent="0.2">
      <c r="A175" s="112" t="s">
        <v>220</v>
      </c>
      <c r="B175" s="129" t="s">
        <v>0</v>
      </c>
      <c r="C175" s="129" t="s">
        <v>0</v>
      </c>
      <c r="D175" s="129" t="s">
        <v>0</v>
      </c>
      <c r="E175" s="129" t="s">
        <v>0</v>
      </c>
      <c r="F175" s="129" t="s">
        <v>0</v>
      </c>
      <c r="G175" s="129" t="s">
        <v>0</v>
      </c>
      <c r="H175" s="129" t="s">
        <v>0</v>
      </c>
      <c r="I175" s="129" t="s">
        <v>0</v>
      </c>
      <c r="J175" s="129" t="s">
        <v>0</v>
      </c>
      <c r="K175" s="129" t="s">
        <v>0</v>
      </c>
      <c r="L175" s="129" t="s">
        <v>0</v>
      </c>
      <c r="M175" s="105">
        <f>M176</f>
        <v>13408372</v>
      </c>
      <c r="N175" s="105">
        <f t="shared" ref="N175:O175" si="77">N176</f>
        <v>12749330.789999999</v>
      </c>
      <c r="O175" s="105">
        <f t="shared" si="77"/>
        <v>12749330.789999999</v>
      </c>
      <c r="P175" s="157">
        <f t="shared" si="62"/>
        <v>0.95084852881468374</v>
      </c>
    </row>
    <row r="176" spans="1:16" s="101" customFormat="1" ht="94.5" x14ac:dyDescent="0.2">
      <c r="A176" s="96" t="s">
        <v>221</v>
      </c>
      <c r="B176" s="97" t="s">
        <v>80</v>
      </c>
      <c r="C176" s="97" t="s">
        <v>21</v>
      </c>
      <c r="D176" s="97" t="s">
        <v>89</v>
      </c>
      <c r="E176" s="97" t="s">
        <v>66</v>
      </c>
      <c r="F176" s="97" t="s">
        <v>85</v>
      </c>
      <c r="G176" s="97" t="s">
        <v>91</v>
      </c>
      <c r="H176" s="97" t="s">
        <v>285</v>
      </c>
      <c r="I176" s="97" t="s">
        <v>144</v>
      </c>
      <c r="J176" s="98" t="s">
        <v>94</v>
      </c>
      <c r="K176" s="98">
        <v>1.155</v>
      </c>
      <c r="L176" s="98">
        <v>2018</v>
      </c>
      <c r="M176" s="99">
        <v>13408372</v>
      </c>
      <c r="N176" s="99">
        <v>12749330.789999999</v>
      </c>
      <c r="O176" s="99">
        <v>12749330.789999999</v>
      </c>
      <c r="P176" s="156">
        <f t="shared" si="62"/>
        <v>0.95084852881468374</v>
      </c>
    </row>
    <row r="177" spans="1:16" s="101" customFormat="1" ht="15.75" x14ac:dyDescent="0.2">
      <c r="A177" s="112" t="s">
        <v>222</v>
      </c>
      <c r="B177" s="129" t="s">
        <v>0</v>
      </c>
      <c r="C177" s="129" t="s">
        <v>0</v>
      </c>
      <c r="D177" s="129" t="s">
        <v>0</v>
      </c>
      <c r="E177" s="129" t="s">
        <v>0</v>
      </c>
      <c r="F177" s="129" t="s">
        <v>0</v>
      </c>
      <c r="G177" s="129" t="s">
        <v>0</v>
      </c>
      <c r="H177" s="129" t="s">
        <v>0</v>
      </c>
      <c r="I177" s="129" t="s">
        <v>0</v>
      </c>
      <c r="J177" s="129" t="s">
        <v>0</v>
      </c>
      <c r="K177" s="129" t="s">
        <v>0</v>
      </c>
      <c r="L177" s="129" t="s">
        <v>0</v>
      </c>
      <c r="M177" s="105">
        <f>M178</f>
        <v>12654536</v>
      </c>
      <c r="N177" s="105">
        <f t="shared" ref="N177:O177" si="78">N178</f>
        <v>12592422.939999999</v>
      </c>
      <c r="O177" s="105">
        <f t="shared" si="78"/>
        <v>12592422.939999999</v>
      </c>
      <c r="P177" s="157">
        <f t="shared" si="62"/>
        <v>0.99509163670639522</v>
      </c>
    </row>
    <row r="178" spans="1:16" s="101" customFormat="1" ht="78.75" x14ac:dyDescent="0.2">
      <c r="A178" s="96" t="s">
        <v>223</v>
      </c>
      <c r="B178" s="97" t="s">
        <v>80</v>
      </c>
      <c r="C178" s="97" t="s">
        <v>21</v>
      </c>
      <c r="D178" s="97" t="s">
        <v>89</v>
      </c>
      <c r="E178" s="97" t="s">
        <v>66</v>
      </c>
      <c r="F178" s="97" t="s">
        <v>85</v>
      </c>
      <c r="G178" s="97" t="s">
        <v>91</v>
      </c>
      <c r="H178" s="97" t="s">
        <v>285</v>
      </c>
      <c r="I178" s="97" t="s">
        <v>144</v>
      </c>
      <c r="J178" s="98" t="s">
        <v>94</v>
      </c>
      <c r="K178" s="98">
        <v>0.88800000000000001</v>
      </c>
      <c r="L178" s="98">
        <v>2018</v>
      </c>
      <c r="M178" s="99">
        <v>12654536</v>
      </c>
      <c r="N178" s="99">
        <v>12592422.939999999</v>
      </c>
      <c r="O178" s="99">
        <v>12592422.939999999</v>
      </c>
      <c r="P178" s="156">
        <f t="shared" si="62"/>
        <v>0.99509163670639522</v>
      </c>
    </row>
    <row r="179" spans="1:16" s="101" customFormat="1" ht="15.75" x14ac:dyDescent="0.2">
      <c r="A179" s="112" t="s">
        <v>224</v>
      </c>
      <c r="B179" s="129" t="s">
        <v>0</v>
      </c>
      <c r="C179" s="129" t="s">
        <v>0</v>
      </c>
      <c r="D179" s="129" t="s">
        <v>0</v>
      </c>
      <c r="E179" s="129" t="s">
        <v>0</v>
      </c>
      <c r="F179" s="129" t="s">
        <v>0</v>
      </c>
      <c r="G179" s="129" t="s">
        <v>0</v>
      </c>
      <c r="H179" s="129" t="s">
        <v>0</v>
      </c>
      <c r="I179" s="129" t="s">
        <v>0</v>
      </c>
      <c r="J179" s="129" t="s">
        <v>0</v>
      </c>
      <c r="K179" s="129" t="s">
        <v>0</v>
      </c>
      <c r="L179" s="129" t="s">
        <v>0</v>
      </c>
      <c r="M179" s="105">
        <f>M180</f>
        <v>77019663</v>
      </c>
      <c r="N179" s="105">
        <f t="shared" ref="N179:O179" si="79">N180</f>
        <v>76934162.989999995</v>
      </c>
      <c r="O179" s="105">
        <f t="shared" si="79"/>
        <v>76934162.989999995</v>
      </c>
      <c r="P179" s="157">
        <f t="shared" si="62"/>
        <v>0.9988898937405114</v>
      </c>
    </row>
    <row r="180" spans="1:16" s="101" customFormat="1" ht="63" x14ac:dyDescent="0.2">
      <c r="A180" s="96" t="s">
        <v>225</v>
      </c>
      <c r="B180" s="97" t="s">
        <v>80</v>
      </c>
      <c r="C180" s="97" t="s">
        <v>21</v>
      </c>
      <c r="D180" s="97" t="s">
        <v>89</v>
      </c>
      <c r="E180" s="97" t="s">
        <v>66</v>
      </c>
      <c r="F180" s="97" t="s">
        <v>85</v>
      </c>
      <c r="G180" s="97" t="s">
        <v>91</v>
      </c>
      <c r="H180" s="97" t="s">
        <v>285</v>
      </c>
      <c r="I180" s="97" t="s">
        <v>144</v>
      </c>
      <c r="J180" s="98" t="s">
        <v>94</v>
      </c>
      <c r="K180" s="98">
        <v>5.0259999999999998</v>
      </c>
      <c r="L180" s="98">
        <v>2018</v>
      </c>
      <c r="M180" s="99">
        <v>77019663</v>
      </c>
      <c r="N180" s="99">
        <v>76934162.989999995</v>
      </c>
      <c r="O180" s="99">
        <v>76934162.989999995</v>
      </c>
      <c r="P180" s="156">
        <f t="shared" si="62"/>
        <v>0.9988898937405114</v>
      </c>
    </row>
    <row r="181" spans="1:16" s="101" customFormat="1" ht="15.75" x14ac:dyDescent="0.2">
      <c r="A181" s="112" t="s">
        <v>194</v>
      </c>
      <c r="B181" s="129" t="s">
        <v>0</v>
      </c>
      <c r="C181" s="129" t="s">
        <v>0</v>
      </c>
      <c r="D181" s="129" t="s">
        <v>0</v>
      </c>
      <c r="E181" s="129" t="s">
        <v>0</v>
      </c>
      <c r="F181" s="129" t="s">
        <v>0</v>
      </c>
      <c r="G181" s="129" t="s">
        <v>0</v>
      </c>
      <c r="H181" s="129" t="s">
        <v>0</v>
      </c>
      <c r="I181" s="129" t="s">
        <v>0</v>
      </c>
      <c r="J181" s="129" t="s">
        <v>0</v>
      </c>
      <c r="K181" s="129" t="s">
        <v>0</v>
      </c>
      <c r="L181" s="129" t="s">
        <v>0</v>
      </c>
      <c r="M181" s="105">
        <f>M182</f>
        <v>12337336</v>
      </c>
      <c r="N181" s="105">
        <f t="shared" ref="N181:O181" si="80">N182</f>
        <v>10790223.41</v>
      </c>
      <c r="O181" s="105">
        <f t="shared" si="80"/>
        <v>10790223.41</v>
      </c>
      <c r="P181" s="157">
        <f t="shared" si="62"/>
        <v>0.874599136312734</v>
      </c>
    </row>
    <row r="182" spans="1:16" s="101" customFormat="1" ht="94.5" x14ac:dyDescent="0.2">
      <c r="A182" s="96" t="s">
        <v>226</v>
      </c>
      <c r="B182" s="97" t="s">
        <v>80</v>
      </c>
      <c r="C182" s="97" t="s">
        <v>21</v>
      </c>
      <c r="D182" s="97" t="s">
        <v>89</v>
      </c>
      <c r="E182" s="97" t="s">
        <v>66</v>
      </c>
      <c r="F182" s="97" t="s">
        <v>85</v>
      </c>
      <c r="G182" s="97" t="s">
        <v>91</v>
      </c>
      <c r="H182" s="97" t="s">
        <v>285</v>
      </c>
      <c r="I182" s="97" t="s">
        <v>144</v>
      </c>
      <c r="J182" s="98" t="s">
        <v>94</v>
      </c>
      <c r="K182" s="145">
        <v>1.04</v>
      </c>
      <c r="L182" s="98">
        <v>2018</v>
      </c>
      <c r="M182" s="99">
        <v>12337336</v>
      </c>
      <c r="N182" s="99">
        <v>10790223.41</v>
      </c>
      <c r="O182" s="99">
        <v>10790223.41</v>
      </c>
      <c r="P182" s="156">
        <f t="shared" si="62"/>
        <v>0.874599136312734</v>
      </c>
    </row>
    <row r="183" spans="1:16" s="101" customFormat="1" ht="15.75" x14ac:dyDescent="0.2">
      <c r="A183" s="112" t="s">
        <v>172</v>
      </c>
      <c r="B183" s="129" t="s">
        <v>0</v>
      </c>
      <c r="C183" s="129" t="s">
        <v>0</v>
      </c>
      <c r="D183" s="129" t="s">
        <v>0</v>
      </c>
      <c r="E183" s="129" t="s">
        <v>0</v>
      </c>
      <c r="F183" s="129" t="s">
        <v>0</v>
      </c>
      <c r="G183" s="129" t="s">
        <v>0</v>
      </c>
      <c r="H183" s="129" t="s">
        <v>0</v>
      </c>
      <c r="I183" s="129" t="s">
        <v>0</v>
      </c>
      <c r="J183" s="129" t="s">
        <v>0</v>
      </c>
      <c r="K183" s="129" t="s">
        <v>0</v>
      </c>
      <c r="L183" s="129" t="s">
        <v>0</v>
      </c>
      <c r="M183" s="105">
        <f>M184</f>
        <v>19383893</v>
      </c>
      <c r="N183" s="105">
        <f t="shared" ref="N183:O183" si="81">N184</f>
        <v>18503916.039999999</v>
      </c>
      <c r="O183" s="105">
        <f t="shared" si="81"/>
        <v>18503916.039999999</v>
      </c>
      <c r="P183" s="157">
        <f t="shared" si="62"/>
        <v>0.9546026714035204</v>
      </c>
    </row>
    <row r="184" spans="1:16" s="101" customFormat="1" ht="63" x14ac:dyDescent="0.2">
      <c r="A184" s="96" t="s">
        <v>227</v>
      </c>
      <c r="B184" s="97" t="s">
        <v>80</v>
      </c>
      <c r="C184" s="97" t="s">
        <v>21</v>
      </c>
      <c r="D184" s="97" t="s">
        <v>89</v>
      </c>
      <c r="E184" s="97" t="s">
        <v>66</v>
      </c>
      <c r="F184" s="97" t="s">
        <v>85</v>
      </c>
      <c r="G184" s="97" t="s">
        <v>91</v>
      </c>
      <c r="H184" s="97" t="s">
        <v>285</v>
      </c>
      <c r="I184" s="97" t="s">
        <v>144</v>
      </c>
      <c r="J184" s="98" t="s">
        <v>94</v>
      </c>
      <c r="K184" s="98">
        <v>1.415</v>
      </c>
      <c r="L184" s="98">
        <v>2018</v>
      </c>
      <c r="M184" s="99">
        <v>19383893</v>
      </c>
      <c r="N184" s="99">
        <v>18503916.039999999</v>
      </c>
      <c r="O184" s="99">
        <v>18503916.039999999</v>
      </c>
      <c r="P184" s="156">
        <f t="shared" si="62"/>
        <v>0.9546026714035204</v>
      </c>
    </row>
    <row r="185" spans="1:16" s="101" customFormat="1" ht="94.5" x14ac:dyDescent="0.2">
      <c r="A185" s="112" t="s">
        <v>98</v>
      </c>
      <c r="B185" s="113" t="s">
        <v>99</v>
      </c>
      <c r="C185" s="113" t="s">
        <v>0</v>
      </c>
      <c r="D185" s="113" t="s">
        <v>0</v>
      </c>
      <c r="E185" s="113" t="s">
        <v>0</v>
      </c>
      <c r="F185" s="113" t="s">
        <v>0</v>
      </c>
      <c r="G185" s="113" t="s">
        <v>0</v>
      </c>
      <c r="H185" s="114" t="s">
        <v>0</v>
      </c>
      <c r="I185" s="114" t="s">
        <v>0</v>
      </c>
      <c r="J185" s="114" t="s">
        <v>0</v>
      </c>
      <c r="K185" s="114" t="s">
        <v>0</v>
      </c>
      <c r="L185" s="114" t="s">
        <v>0</v>
      </c>
      <c r="M185" s="105">
        <f>M186+M199+M266</f>
        <v>499681230.56</v>
      </c>
      <c r="N185" s="105">
        <f t="shared" ref="N185:O185" si="82">N186+N199+N266</f>
        <v>479909256.44999999</v>
      </c>
      <c r="O185" s="105">
        <f t="shared" si="82"/>
        <v>479909256.44999999</v>
      </c>
      <c r="P185" s="157">
        <f t="shared" si="62"/>
        <v>0.96043082489241938</v>
      </c>
    </row>
    <row r="186" spans="1:16" s="101" customFormat="1" ht="110.25" x14ac:dyDescent="0.2">
      <c r="A186" s="112" t="s">
        <v>228</v>
      </c>
      <c r="B186" s="113" t="s">
        <v>99</v>
      </c>
      <c r="C186" s="113" t="s">
        <v>13</v>
      </c>
      <c r="D186" s="113" t="s">
        <v>0</v>
      </c>
      <c r="E186" s="113" t="s">
        <v>0</v>
      </c>
      <c r="F186" s="113" t="s">
        <v>0</v>
      </c>
      <c r="G186" s="113" t="s">
        <v>0</v>
      </c>
      <c r="H186" s="114" t="s">
        <v>0</v>
      </c>
      <c r="I186" s="114" t="s">
        <v>0</v>
      </c>
      <c r="J186" s="114" t="s">
        <v>0</v>
      </c>
      <c r="K186" s="114" t="s">
        <v>0</v>
      </c>
      <c r="L186" s="114" t="s">
        <v>0</v>
      </c>
      <c r="M186" s="105">
        <f t="shared" ref="M186:O191" si="83">M187</f>
        <v>18078520.25</v>
      </c>
      <c r="N186" s="105">
        <f t="shared" si="83"/>
        <v>18077325.699999999</v>
      </c>
      <c r="O186" s="105">
        <f t="shared" si="83"/>
        <v>18077325.699999999</v>
      </c>
      <c r="P186" s="157">
        <f t="shared" si="62"/>
        <v>0.99993392434870321</v>
      </c>
    </row>
    <row r="187" spans="1:16" s="101" customFormat="1" ht="47.25" x14ac:dyDescent="0.2">
      <c r="A187" s="112" t="s">
        <v>280</v>
      </c>
      <c r="B187" s="113" t="s">
        <v>99</v>
      </c>
      <c r="C187" s="113" t="s">
        <v>13</v>
      </c>
      <c r="D187" s="113">
        <v>17</v>
      </c>
      <c r="E187" s="113" t="s">
        <v>0</v>
      </c>
      <c r="F187" s="113" t="s">
        <v>0</v>
      </c>
      <c r="G187" s="113" t="s">
        <v>0</v>
      </c>
      <c r="H187" s="114" t="s">
        <v>0</v>
      </c>
      <c r="I187" s="114" t="s">
        <v>0</v>
      </c>
      <c r="J187" s="114" t="s">
        <v>0</v>
      </c>
      <c r="K187" s="114" t="s">
        <v>0</v>
      </c>
      <c r="L187" s="114" t="s">
        <v>0</v>
      </c>
      <c r="M187" s="105">
        <f t="shared" si="83"/>
        <v>18078520.25</v>
      </c>
      <c r="N187" s="105">
        <f t="shared" si="83"/>
        <v>18077325.699999999</v>
      </c>
      <c r="O187" s="105">
        <f t="shared" si="83"/>
        <v>18077325.699999999</v>
      </c>
      <c r="P187" s="157">
        <f t="shared" si="62"/>
        <v>0.99993392434870321</v>
      </c>
    </row>
    <row r="188" spans="1:16" s="101" customFormat="1" ht="31.5" x14ac:dyDescent="0.2">
      <c r="A188" s="112" t="s">
        <v>288</v>
      </c>
      <c r="B188" s="113" t="s">
        <v>99</v>
      </c>
      <c r="C188" s="113" t="s">
        <v>13</v>
      </c>
      <c r="D188" s="113">
        <v>17</v>
      </c>
      <c r="E188" s="113" t="s">
        <v>66</v>
      </c>
      <c r="F188" s="113" t="s">
        <v>0</v>
      </c>
      <c r="G188" s="113" t="s">
        <v>0</v>
      </c>
      <c r="H188" s="114" t="s">
        <v>0</v>
      </c>
      <c r="I188" s="114" t="s">
        <v>0</v>
      </c>
      <c r="J188" s="114" t="s">
        <v>0</v>
      </c>
      <c r="K188" s="114" t="s">
        <v>0</v>
      </c>
      <c r="L188" s="114" t="s">
        <v>0</v>
      </c>
      <c r="M188" s="105">
        <f t="shared" si="83"/>
        <v>18078520.25</v>
      </c>
      <c r="N188" s="105">
        <f t="shared" si="83"/>
        <v>18077325.699999999</v>
      </c>
      <c r="O188" s="105">
        <f t="shared" si="83"/>
        <v>18077325.699999999</v>
      </c>
      <c r="P188" s="157">
        <f t="shared" si="62"/>
        <v>0.99993392434870321</v>
      </c>
    </row>
    <row r="189" spans="1:16" s="101" customFormat="1" ht="31.5" x14ac:dyDescent="0.2">
      <c r="A189" s="115" t="s">
        <v>31</v>
      </c>
      <c r="B189" s="113" t="s">
        <v>99</v>
      </c>
      <c r="C189" s="113" t="s">
        <v>13</v>
      </c>
      <c r="D189" s="113">
        <v>17</v>
      </c>
      <c r="E189" s="113" t="s">
        <v>66</v>
      </c>
      <c r="F189" s="113" t="s">
        <v>32</v>
      </c>
      <c r="G189" s="113" t="s">
        <v>0</v>
      </c>
      <c r="H189" s="113" t="s">
        <v>0</v>
      </c>
      <c r="I189" s="113" t="s">
        <v>0</v>
      </c>
      <c r="J189" s="113" t="s">
        <v>0</v>
      </c>
      <c r="K189" s="113" t="s">
        <v>0</v>
      </c>
      <c r="L189" s="113" t="s">
        <v>0</v>
      </c>
      <c r="M189" s="105">
        <f t="shared" si="83"/>
        <v>18078520.25</v>
      </c>
      <c r="N189" s="105">
        <f t="shared" si="83"/>
        <v>18077325.699999999</v>
      </c>
      <c r="O189" s="105">
        <f t="shared" si="83"/>
        <v>18077325.699999999</v>
      </c>
      <c r="P189" s="157">
        <f t="shared" si="62"/>
        <v>0.99993392434870321</v>
      </c>
    </row>
    <row r="190" spans="1:16" s="101" customFormat="1" ht="15.75" x14ac:dyDescent="0.2">
      <c r="A190" s="115" t="s">
        <v>33</v>
      </c>
      <c r="B190" s="113" t="s">
        <v>99</v>
      </c>
      <c r="C190" s="113" t="s">
        <v>13</v>
      </c>
      <c r="D190" s="113">
        <v>17</v>
      </c>
      <c r="E190" s="113" t="s">
        <v>66</v>
      </c>
      <c r="F190" s="113" t="s">
        <v>32</v>
      </c>
      <c r="G190" s="113" t="s">
        <v>34</v>
      </c>
      <c r="H190" s="113" t="s">
        <v>0</v>
      </c>
      <c r="I190" s="113" t="s">
        <v>0</v>
      </c>
      <c r="J190" s="113" t="s">
        <v>0</v>
      </c>
      <c r="K190" s="113" t="s">
        <v>0</v>
      </c>
      <c r="L190" s="113" t="s">
        <v>0</v>
      </c>
      <c r="M190" s="105">
        <f t="shared" si="83"/>
        <v>18078520.25</v>
      </c>
      <c r="N190" s="105">
        <f t="shared" si="83"/>
        <v>18077325.699999999</v>
      </c>
      <c r="O190" s="105">
        <f t="shared" si="83"/>
        <v>18077325.699999999</v>
      </c>
      <c r="P190" s="157">
        <f t="shared" si="62"/>
        <v>0.99993392434870321</v>
      </c>
    </row>
    <row r="191" spans="1:16" s="101" customFormat="1" ht="47.25" x14ac:dyDescent="0.2">
      <c r="A191" s="112" t="s">
        <v>152</v>
      </c>
      <c r="B191" s="113" t="s">
        <v>99</v>
      </c>
      <c r="C191" s="113" t="s">
        <v>13</v>
      </c>
      <c r="D191" s="113">
        <v>17</v>
      </c>
      <c r="E191" s="113" t="s">
        <v>66</v>
      </c>
      <c r="F191" s="113" t="s">
        <v>32</v>
      </c>
      <c r="G191" s="113" t="s">
        <v>34</v>
      </c>
      <c r="H191" s="113" t="s">
        <v>153</v>
      </c>
      <c r="I191" s="114" t="s">
        <v>0</v>
      </c>
      <c r="J191" s="114" t="s">
        <v>0</v>
      </c>
      <c r="K191" s="114" t="s">
        <v>0</v>
      </c>
      <c r="L191" s="114" t="s">
        <v>0</v>
      </c>
      <c r="M191" s="105">
        <f t="shared" si="83"/>
        <v>18078520.25</v>
      </c>
      <c r="N191" s="105">
        <f t="shared" si="83"/>
        <v>18077325.699999999</v>
      </c>
      <c r="O191" s="105">
        <f t="shared" si="83"/>
        <v>18077325.699999999</v>
      </c>
      <c r="P191" s="157">
        <f t="shared" si="62"/>
        <v>0.99993392434870321</v>
      </c>
    </row>
    <row r="192" spans="1:16" s="101" customFormat="1" ht="63" x14ac:dyDescent="0.2">
      <c r="A192" s="112" t="s">
        <v>290</v>
      </c>
      <c r="B192" s="113" t="s">
        <v>99</v>
      </c>
      <c r="C192" s="113" t="s">
        <v>13</v>
      </c>
      <c r="D192" s="113">
        <v>17</v>
      </c>
      <c r="E192" s="113" t="s">
        <v>66</v>
      </c>
      <c r="F192" s="113" t="s">
        <v>32</v>
      </c>
      <c r="G192" s="113" t="s">
        <v>34</v>
      </c>
      <c r="H192" s="113" t="s">
        <v>153</v>
      </c>
      <c r="I192" s="113" t="s">
        <v>144</v>
      </c>
      <c r="J192" s="113" t="s">
        <v>0</v>
      </c>
      <c r="K192" s="113" t="s">
        <v>0</v>
      </c>
      <c r="L192" s="113" t="s">
        <v>0</v>
      </c>
      <c r="M192" s="105">
        <f>M193+M197</f>
        <v>18078520.25</v>
      </c>
      <c r="N192" s="105">
        <f t="shared" ref="N192:O192" si="84">N193+N197</f>
        <v>18077325.699999999</v>
      </c>
      <c r="O192" s="105">
        <f t="shared" si="84"/>
        <v>18077325.699999999</v>
      </c>
      <c r="P192" s="157">
        <f t="shared" si="62"/>
        <v>0.99993392434870321</v>
      </c>
    </row>
    <row r="193" spans="1:16" s="101" customFormat="1" ht="31.5" x14ac:dyDescent="0.2">
      <c r="A193" s="112" t="s">
        <v>229</v>
      </c>
      <c r="B193" s="129" t="s">
        <v>0</v>
      </c>
      <c r="C193" s="129" t="s">
        <v>0</v>
      </c>
      <c r="D193" s="129"/>
      <c r="E193" s="129" t="s">
        <v>0</v>
      </c>
      <c r="F193" s="129" t="s">
        <v>0</v>
      </c>
      <c r="G193" s="129" t="s">
        <v>0</v>
      </c>
      <c r="H193" s="129" t="s">
        <v>0</v>
      </c>
      <c r="I193" s="129" t="s">
        <v>0</v>
      </c>
      <c r="J193" s="129" t="s">
        <v>0</v>
      </c>
      <c r="K193" s="129" t="s">
        <v>0</v>
      </c>
      <c r="L193" s="129" t="s">
        <v>0</v>
      </c>
      <c r="M193" s="105">
        <f>M194+M195+M196</f>
        <v>12969089.809999999</v>
      </c>
      <c r="N193" s="105">
        <f t="shared" ref="N193:O193" si="85">N194+N195+N196</f>
        <v>12967895.26</v>
      </c>
      <c r="O193" s="105">
        <f t="shared" si="85"/>
        <v>12967895.26</v>
      </c>
      <c r="P193" s="157">
        <f t="shared" si="62"/>
        <v>0.99990789253390178</v>
      </c>
    </row>
    <row r="194" spans="1:16" s="101" customFormat="1" ht="78.75" x14ac:dyDescent="0.2">
      <c r="A194" s="96" t="s">
        <v>326</v>
      </c>
      <c r="B194" s="97" t="s">
        <v>99</v>
      </c>
      <c r="C194" s="97" t="s">
        <v>13</v>
      </c>
      <c r="D194" s="97">
        <v>17</v>
      </c>
      <c r="E194" s="97" t="s">
        <v>66</v>
      </c>
      <c r="F194" s="97" t="s">
        <v>32</v>
      </c>
      <c r="G194" s="97" t="s">
        <v>34</v>
      </c>
      <c r="H194" s="97" t="s">
        <v>153</v>
      </c>
      <c r="I194" s="97" t="s">
        <v>144</v>
      </c>
      <c r="J194" s="98" t="s">
        <v>158</v>
      </c>
      <c r="K194" s="98">
        <v>1</v>
      </c>
      <c r="L194" s="98">
        <v>2018</v>
      </c>
      <c r="M194" s="99">
        <f>4180000-6698.45</f>
        <v>4173301.55</v>
      </c>
      <c r="N194" s="99">
        <v>4172107</v>
      </c>
      <c r="O194" s="99">
        <v>4172107</v>
      </c>
      <c r="P194" s="156">
        <f t="shared" si="62"/>
        <v>0.99971376379451904</v>
      </c>
    </row>
    <row r="195" spans="1:16" s="101" customFormat="1" ht="78.75" x14ac:dyDescent="0.2">
      <c r="A195" s="96" t="s">
        <v>328</v>
      </c>
      <c r="B195" s="97" t="s">
        <v>99</v>
      </c>
      <c r="C195" s="97" t="s">
        <v>13</v>
      </c>
      <c r="D195" s="97">
        <v>17</v>
      </c>
      <c r="E195" s="97" t="s">
        <v>66</v>
      </c>
      <c r="F195" s="97" t="s">
        <v>32</v>
      </c>
      <c r="G195" s="97" t="s">
        <v>34</v>
      </c>
      <c r="H195" s="97" t="s">
        <v>153</v>
      </c>
      <c r="I195" s="97" t="s">
        <v>144</v>
      </c>
      <c r="J195" s="98" t="s">
        <v>158</v>
      </c>
      <c r="K195" s="98">
        <v>1</v>
      </c>
      <c r="L195" s="98">
        <v>2018</v>
      </c>
      <c r="M195" s="99">
        <f>4180000+245605.4+9108.6-22102.33</f>
        <v>4412611.67</v>
      </c>
      <c r="N195" s="99">
        <f>4180000+245605.4+9108.6-22102.33</f>
        <v>4412611.67</v>
      </c>
      <c r="O195" s="99">
        <f>4180000+245605.4+9108.6-22102.33</f>
        <v>4412611.67</v>
      </c>
      <c r="P195" s="156">
        <f t="shared" si="62"/>
        <v>1</v>
      </c>
    </row>
    <row r="196" spans="1:16" s="101" customFormat="1" ht="78.75" x14ac:dyDescent="0.2">
      <c r="A196" s="96" t="s">
        <v>327</v>
      </c>
      <c r="B196" s="97" t="s">
        <v>99</v>
      </c>
      <c r="C196" s="97" t="s">
        <v>13</v>
      </c>
      <c r="D196" s="97">
        <v>17</v>
      </c>
      <c r="E196" s="97" t="s">
        <v>66</v>
      </c>
      <c r="F196" s="97" t="s">
        <v>32</v>
      </c>
      <c r="G196" s="97" t="s">
        <v>34</v>
      </c>
      <c r="H196" s="97" t="s">
        <v>153</v>
      </c>
      <c r="I196" s="97" t="s">
        <v>144</v>
      </c>
      <c r="J196" s="98" t="s">
        <v>158</v>
      </c>
      <c r="K196" s="98">
        <v>1</v>
      </c>
      <c r="L196" s="98">
        <v>2018</v>
      </c>
      <c r="M196" s="99">
        <f>4180000+215998.65-2410.15-10411.91</f>
        <v>4383176.59</v>
      </c>
      <c r="N196" s="99">
        <f>4180000+215998.65-2410.15-10411.91</f>
        <v>4383176.59</v>
      </c>
      <c r="O196" s="99">
        <f>4180000+215998.65-2410.15-10411.91</f>
        <v>4383176.59</v>
      </c>
      <c r="P196" s="156">
        <f t="shared" si="62"/>
        <v>1</v>
      </c>
    </row>
    <row r="197" spans="1:16" s="101" customFormat="1" ht="15.75" x14ac:dyDescent="0.2">
      <c r="A197" s="112" t="s">
        <v>180</v>
      </c>
      <c r="B197" s="129" t="s">
        <v>0</v>
      </c>
      <c r="C197" s="129" t="s">
        <v>0</v>
      </c>
      <c r="D197" s="129" t="s">
        <v>0</v>
      </c>
      <c r="E197" s="129" t="s">
        <v>0</v>
      </c>
      <c r="F197" s="129" t="s">
        <v>0</v>
      </c>
      <c r="G197" s="129" t="s">
        <v>0</v>
      </c>
      <c r="H197" s="129" t="s">
        <v>0</v>
      </c>
      <c r="I197" s="129" t="s">
        <v>0</v>
      </c>
      <c r="J197" s="129" t="s">
        <v>0</v>
      </c>
      <c r="K197" s="129" t="s">
        <v>0</v>
      </c>
      <c r="L197" s="129" t="s">
        <v>0</v>
      </c>
      <c r="M197" s="105">
        <f>M198</f>
        <v>5109430.4399999995</v>
      </c>
      <c r="N197" s="105">
        <f t="shared" ref="N197:O197" si="86">N198</f>
        <v>5109430.4399999995</v>
      </c>
      <c r="O197" s="105">
        <f t="shared" si="86"/>
        <v>5109430.4399999995</v>
      </c>
      <c r="P197" s="157">
        <f t="shared" si="62"/>
        <v>1</v>
      </c>
    </row>
    <row r="198" spans="1:16" s="101" customFormat="1" ht="63" x14ac:dyDescent="0.2">
      <c r="A198" s="96" t="s">
        <v>332</v>
      </c>
      <c r="B198" s="97" t="s">
        <v>99</v>
      </c>
      <c r="C198" s="97" t="s">
        <v>13</v>
      </c>
      <c r="D198" s="97">
        <v>17</v>
      </c>
      <c r="E198" s="97" t="s">
        <v>66</v>
      </c>
      <c r="F198" s="97" t="s">
        <v>32</v>
      </c>
      <c r="G198" s="97" t="s">
        <v>34</v>
      </c>
      <c r="H198" s="97" t="s">
        <v>153</v>
      </c>
      <c r="I198" s="97" t="s">
        <v>144</v>
      </c>
      <c r="J198" s="98" t="s">
        <v>94</v>
      </c>
      <c r="K198" s="98">
        <v>3.8050000000000002</v>
      </c>
      <c r="L198" s="98">
        <v>2018</v>
      </c>
      <c r="M198" s="99">
        <f>5452905+649627.1-973159.5-19942.16</f>
        <v>5109430.4399999995</v>
      </c>
      <c r="N198" s="99">
        <f>5452905+649627.1-973159.5-19942.16</f>
        <v>5109430.4399999995</v>
      </c>
      <c r="O198" s="99">
        <f>5452905+649627.1-973159.5-19942.16</f>
        <v>5109430.4399999995</v>
      </c>
      <c r="P198" s="156">
        <f t="shared" si="62"/>
        <v>1</v>
      </c>
    </row>
    <row r="199" spans="1:16" s="101" customFormat="1" ht="63" x14ac:dyDescent="0.2">
      <c r="A199" s="112" t="s">
        <v>100</v>
      </c>
      <c r="B199" s="113" t="s">
        <v>99</v>
      </c>
      <c r="C199" s="113" t="s">
        <v>14</v>
      </c>
      <c r="D199" s="113" t="s">
        <v>0</v>
      </c>
      <c r="E199" s="113" t="s">
        <v>0</v>
      </c>
      <c r="F199" s="113" t="s">
        <v>0</v>
      </c>
      <c r="G199" s="113" t="s">
        <v>0</v>
      </c>
      <c r="H199" s="114" t="s">
        <v>0</v>
      </c>
      <c r="I199" s="114" t="s">
        <v>0</v>
      </c>
      <c r="J199" s="114" t="s">
        <v>0</v>
      </c>
      <c r="K199" s="114" t="s">
        <v>0</v>
      </c>
      <c r="L199" s="114" t="s">
        <v>0</v>
      </c>
      <c r="M199" s="105">
        <f>M200+M214+M244+M258</f>
        <v>339211414.63</v>
      </c>
      <c r="N199" s="105">
        <f t="shared" ref="N199:O199" si="87">N200+N214+N244+N258</f>
        <v>319440635.06999999</v>
      </c>
      <c r="O199" s="105">
        <f t="shared" si="87"/>
        <v>319440635.06999999</v>
      </c>
      <c r="P199" s="157">
        <f t="shared" si="62"/>
        <v>0.94171546502476844</v>
      </c>
    </row>
    <row r="200" spans="1:16" s="101" customFormat="1" ht="47.25" x14ac:dyDescent="0.2">
      <c r="A200" s="112" t="s">
        <v>279</v>
      </c>
      <c r="B200" s="113" t="s">
        <v>99</v>
      </c>
      <c r="C200" s="113" t="s">
        <v>14</v>
      </c>
      <c r="D200" s="113" t="s">
        <v>72</v>
      </c>
      <c r="E200" s="113" t="s">
        <v>0</v>
      </c>
      <c r="F200" s="113" t="s">
        <v>0</v>
      </c>
      <c r="G200" s="113" t="s">
        <v>0</v>
      </c>
      <c r="H200" s="114" t="s">
        <v>0</v>
      </c>
      <c r="I200" s="114" t="s">
        <v>0</v>
      </c>
      <c r="J200" s="114" t="s">
        <v>0</v>
      </c>
      <c r="K200" s="114" t="s">
        <v>0</v>
      </c>
      <c r="L200" s="114" t="s">
        <v>0</v>
      </c>
      <c r="M200" s="105">
        <f>M201</f>
        <v>3436170.75</v>
      </c>
      <c r="N200" s="105">
        <f t="shared" ref="N200:O204" si="88">N201</f>
        <v>3436170.75</v>
      </c>
      <c r="O200" s="105">
        <f t="shared" si="88"/>
        <v>3436170.75</v>
      </c>
      <c r="P200" s="157">
        <f t="shared" si="62"/>
        <v>1</v>
      </c>
    </row>
    <row r="201" spans="1:16" s="101" customFormat="1" ht="31.5" x14ac:dyDescent="0.2">
      <c r="A201" s="112" t="s">
        <v>288</v>
      </c>
      <c r="B201" s="113" t="s">
        <v>99</v>
      </c>
      <c r="C201" s="113" t="s">
        <v>14</v>
      </c>
      <c r="D201" s="113" t="s">
        <v>72</v>
      </c>
      <c r="E201" s="113" t="s">
        <v>66</v>
      </c>
      <c r="F201" s="113" t="s">
        <v>0</v>
      </c>
      <c r="G201" s="113" t="s">
        <v>0</v>
      </c>
      <c r="H201" s="114" t="s">
        <v>0</v>
      </c>
      <c r="I201" s="114" t="s">
        <v>0</v>
      </c>
      <c r="J201" s="114" t="s">
        <v>0</v>
      </c>
      <c r="K201" s="114" t="s">
        <v>0</v>
      </c>
      <c r="L201" s="114" t="s">
        <v>0</v>
      </c>
      <c r="M201" s="105">
        <f>M202</f>
        <v>3436170.75</v>
      </c>
      <c r="N201" s="105">
        <f t="shared" si="88"/>
        <v>3436170.75</v>
      </c>
      <c r="O201" s="105">
        <f t="shared" si="88"/>
        <v>3436170.75</v>
      </c>
      <c r="P201" s="157">
        <f t="shared" ref="P201:P264" si="89">O201/M201</f>
        <v>1</v>
      </c>
    </row>
    <row r="202" spans="1:16" s="101" customFormat="1" ht="31.5" x14ac:dyDescent="0.2">
      <c r="A202" s="115" t="s">
        <v>31</v>
      </c>
      <c r="B202" s="113" t="s">
        <v>99</v>
      </c>
      <c r="C202" s="113" t="s">
        <v>14</v>
      </c>
      <c r="D202" s="113" t="s">
        <v>72</v>
      </c>
      <c r="E202" s="113" t="s">
        <v>66</v>
      </c>
      <c r="F202" s="113" t="s">
        <v>32</v>
      </c>
      <c r="G202" s="113" t="s">
        <v>0</v>
      </c>
      <c r="H202" s="113" t="s">
        <v>0</v>
      </c>
      <c r="I202" s="113" t="s">
        <v>0</v>
      </c>
      <c r="J202" s="113" t="s">
        <v>0</v>
      </c>
      <c r="K202" s="113" t="s">
        <v>0</v>
      </c>
      <c r="L202" s="113" t="s">
        <v>0</v>
      </c>
      <c r="M202" s="105">
        <f>M203</f>
        <v>3436170.75</v>
      </c>
      <c r="N202" s="105">
        <f t="shared" si="88"/>
        <v>3436170.75</v>
      </c>
      <c r="O202" s="105">
        <f t="shared" si="88"/>
        <v>3436170.75</v>
      </c>
      <c r="P202" s="157">
        <f t="shared" si="89"/>
        <v>1</v>
      </c>
    </row>
    <row r="203" spans="1:16" s="101" customFormat="1" ht="15.75" x14ac:dyDescent="0.2">
      <c r="A203" s="115" t="s">
        <v>33</v>
      </c>
      <c r="B203" s="113" t="s">
        <v>99</v>
      </c>
      <c r="C203" s="113" t="s">
        <v>14</v>
      </c>
      <c r="D203" s="113" t="s">
        <v>72</v>
      </c>
      <c r="E203" s="113" t="s">
        <v>66</v>
      </c>
      <c r="F203" s="113" t="s">
        <v>32</v>
      </c>
      <c r="G203" s="113" t="s">
        <v>34</v>
      </c>
      <c r="H203" s="113" t="s">
        <v>0</v>
      </c>
      <c r="I203" s="113" t="s">
        <v>0</v>
      </c>
      <c r="J203" s="113" t="s">
        <v>0</v>
      </c>
      <c r="K203" s="113" t="s">
        <v>0</v>
      </c>
      <c r="L203" s="113" t="s">
        <v>0</v>
      </c>
      <c r="M203" s="105">
        <f>M204</f>
        <v>3436170.75</v>
      </c>
      <c r="N203" s="105">
        <f t="shared" si="88"/>
        <v>3436170.75</v>
      </c>
      <c r="O203" s="105">
        <f t="shared" si="88"/>
        <v>3436170.75</v>
      </c>
      <c r="P203" s="157">
        <f t="shared" si="89"/>
        <v>1</v>
      </c>
    </row>
    <row r="204" spans="1:16" s="101" customFormat="1" ht="47.25" x14ac:dyDescent="0.2">
      <c r="A204" s="112" t="s">
        <v>152</v>
      </c>
      <c r="B204" s="113" t="s">
        <v>99</v>
      </c>
      <c r="C204" s="113" t="s">
        <v>14</v>
      </c>
      <c r="D204" s="113" t="s">
        <v>72</v>
      </c>
      <c r="E204" s="113" t="s">
        <v>66</v>
      </c>
      <c r="F204" s="113" t="s">
        <v>32</v>
      </c>
      <c r="G204" s="113" t="s">
        <v>34</v>
      </c>
      <c r="H204" s="113" t="s">
        <v>153</v>
      </c>
      <c r="I204" s="114" t="s">
        <v>0</v>
      </c>
      <c r="J204" s="114" t="s">
        <v>0</v>
      </c>
      <c r="K204" s="114" t="s">
        <v>0</v>
      </c>
      <c r="L204" s="114" t="s">
        <v>0</v>
      </c>
      <c r="M204" s="105">
        <f>M205</f>
        <v>3436170.75</v>
      </c>
      <c r="N204" s="105">
        <f t="shared" si="88"/>
        <v>3436170.75</v>
      </c>
      <c r="O204" s="105">
        <f t="shared" si="88"/>
        <v>3436170.75</v>
      </c>
      <c r="P204" s="157">
        <f t="shared" si="89"/>
        <v>1</v>
      </c>
    </row>
    <row r="205" spans="1:16" s="101" customFormat="1" ht="63" x14ac:dyDescent="0.2">
      <c r="A205" s="112" t="s">
        <v>290</v>
      </c>
      <c r="B205" s="113" t="s">
        <v>99</v>
      </c>
      <c r="C205" s="113" t="s">
        <v>14</v>
      </c>
      <c r="D205" s="113" t="s">
        <v>72</v>
      </c>
      <c r="E205" s="113" t="s">
        <v>66</v>
      </c>
      <c r="F205" s="113" t="s">
        <v>32</v>
      </c>
      <c r="G205" s="113" t="s">
        <v>34</v>
      </c>
      <c r="H205" s="113" t="s">
        <v>153</v>
      </c>
      <c r="I205" s="113" t="s">
        <v>144</v>
      </c>
      <c r="J205" s="113" t="s">
        <v>0</v>
      </c>
      <c r="K205" s="113"/>
      <c r="L205" s="113" t="s">
        <v>0</v>
      </c>
      <c r="M205" s="105">
        <f>M208+M210+M212+M206</f>
        <v>3436170.75</v>
      </c>
      <c r="N205" s="105">
        <f t="shared" ref="N205:O205" si="90">N208+N210+N212+N206</f>
        <v>3436170.75</v>
      </c>
      <c r="O205" s="105">
        <f t="shared" si="90"/>
        <v>3436170.75</v>
      </c>
      <c r="P205" s="157">
        <f t="shared" si="89"/>
        <v>1</v>
      </c>
    </row>
    <row r="206" spans="1:16" s="101" customFormat="1" ht="15.75" x14ac:dyDescent="0.2">
      <c r="A206" s="112" t="s">
        <v>311</v>
      </c>
      <c r="B206" s="129" t="s">
        <v>0</v>
      </c>
      <c r="C206" s="129" t="s">
        <v>0</v>
      </c>
      <c r="D206" s="129" t="s">
        <v>0</v>
      </c>
      <c r="E206" s="129" t="s">
        <v>0</v>
      </c>
      <c r="F206" s="129" t="s">
        <v>0</v>
      </c>
      <c r="G206" s="129" t="s">
        <v>0</v>
      </c>
      <c r="H206" s="129" t="s">
        <v>0</v>
      </c>
      <c r="I206" s="129" t="s">
        <v>0</v>
      </c>
      <c r="J206" s="129" t="s">
        <v>0</v>
      </c>
      <c r="K206" s="129" t="s">
        <v>0</v>
      </c>
      <c r="L206" s="129" t="s">
        <v>0</v>
      </c>
      <c r="M206" s="105">
        <f>M207</f>
        <v>2227648.35</v>
      </c>
      <c r="N206" s="105">
        <f t="shared" ref="N206:O206" si="91">N207</f>
        <v>2227648.35</v>
      </c>
      <c r="O206" s="105">
        <f t="shared" si="91"/>
        <v>2227648.35</v>
      </c>
      <c r="P206" s="157">
        <f t="shared" si="89"/>
        <v>1</v>
      </c>
    </row>
    <row r="207" spans="1:16" s="101" customFormat="1" ht="47.25" x14ac:dyDescent="0.2">
      <c r="A207" s="96" t="s">
        <v>348</v>
      </c>
      <c r="B207" s="97">
        <v>19</v>
      </c>
      <c r="C207" s="97">
        <v>2</v>
      </c>
      <c r="D207" s="97">
        <v>14</v>
      </c>
      <c r="E207" s="97" t="s">
        <v>66</v>
      </c>
      <c r="F207" s="97" t="s">
        <v>32</v>
      </c>
      <c r="G207" s="97" t="s">
        <v>34</v>
      </c>
      <c r="H207" s="97">
        <v>11270</v>
      </c>
      <c r="I207" s="97" t="s">
        <v>144</v>
      </c>
      <c r="J207" s="98" t="s">
        <v>94</v>
      </c>
      <c r="K207" s="98" t="s">
        <v>186</v>
      </c>
      <c r="L207" s="98">
        <v>2018</v>
      </c>
      <c r="M207" s="99">
        <f>1658472+633479-64302.65</f>
        <v>2227648.35</v>
      </c>
      <c r="N207" s="99">
        <f>1658472+633479-64302.65</f>
        <v>2227648.35</v>
      </c>
      <c r="O207" s="99">
        <f>1658472+633479-64302.65</f>
        <v>2227648.35</v>
      </c>
      <c r="P207" s="156">
        <f t="shared" si="89"/>
        <v>1</v>
      </c>
    </row>
    <row r="208" spans="1:16" s="101" customFormat="1" ht="15.75" x14ac:dyDescent="0.2">
      <c r="A208" s="112" t="s">
        <v>190</v>
      </c>
      <c r="B208" s="129" t="s">
        <v>0</v>
      </c>
      <c r="C208" s="129" t="s">
        <v>0</v>
      </c>
      <c r="D208" s="129" t="s">
        <v>0</v>
      </c>
      <c r="E208" s="129" t="s">
        <v>0</v>
      </c>
      <c r="F208" s="129" t="s">
        <v>0</v>
      </c>
      <c r="G208" s="129" t="s">
        <v>0</v>
      </c>
      <c r="H208" s="129" t="s">
        <v>0</v>
      </c>
      <c r="I208" s="129" t="s">
        <v>0</v>
      </c>
      <c r="J208" s="129" t="s">
        <v>0</v>
      </c>
      <c r="K208" s="129" t="s">
        <v>0</v>
      </c>
      <c r="L208" s="129" t="s">
        <v>0</v>
      </c>
      <c r="M208" s="105">
        <f>M209</f>
        <v>722908.41999999993</v>
      </c>
      <c r="N208" s="105">
        <f t="shared" ref="N208:O208" si="92">N209</f>
        <v>722908.41999999993</v>
      </c>
      <c r="O208" s="105">
        <f t="shared" si="92"/>
        <v>722908.41999999993</v>
      </c>
      <c r="P208" s="157">
        <f t="shared" si="89"/>
        <v>1</v>
      </c>
    </row>
    <row r="209" spans="1:16" s="101" customFormat="1" ht="31.5" x14ac:dyDescent="0.2">
      <c r="A209" s="96" t="s">
        <v>294</v>
      </c>
      <c r="B209" s="97" t="s">
        <v>99</v>
      </c>
      <c r="C209" s="97" t="s">
        <v>14</v>
      </c>
      <c r="D209" s="97" t="s">
        <v>72</v>
      </c>
      <c r="E209" s="97" t="s">
        <v>66</v>
      </c>
      <c r="F209" s="97" t="s">
        <v>32</v>
      </c>
      <c r="G209" s="97" t="s">
        <v>34</v>
      </c>
      <c r="H209" s="97" t="s">
        <v>153</v>
      </c>
      <c r="I209" s="97" t="s">
        <v>144</v>
      </c>
      <c r="J209" s="98" t="s">
        <v>94</v>
      </c>
      <c r="K209" s="98" t="s">
        <v>237</v>
      </c>
      <c r="L209" s="98">
        <v>2018</v>
      </c>
      <c r="M209" s="99">
        <f>714352.51+19086.45-10530.54</f>
        <v>722908.41999999993</v>
      </c>
      <c r="N209" s="99">
        <f>714352.51+19086.45-10530.54</f>
        <v>722908.41999999993</v>
      </c>
      <c r="O209" s="99">
        <f>714352.51+19086.45-10530.54</f>
        <v>722908.41999999993</v>
      </c>
      <c r="P209" s="156">
        <f t="shared" si="89"/>
        <v>1</v>
      </c>
    </row>
    <row r="210" spans="1:16" s="101" customFormat="1" ht="15.75" x14ac:dyDescent="0.2">
      <c r="A210" s="112" t="s">
        <v>194</v>
      </c>
      <c r="B210" s="129" t="s">
        <v>0</v>
      </c>
      <c r="C210" s="129" t="s">
        <v>0</v>
      </c>
      <c r="D210" s="129" t="s">
        <v>0</v>
      </c>
      <c r="E210" s="129" t="s">
        <v>0</v>
      </c>
      <c r="F210" s="129" t="s">
        <v>0</v>
      </c>
      <c r="G210" s="129" t="s">
        <v>0</v>
      </c>
      <c r="H210" s="129" t="s">
        <v>0</v>
      </c>
      <c r="I210" s="129" t="s">
        <v>0</v>
      </c>
      <c r="J210" s="129" t="s">
        <v>0</v>
      </c>
      <c r="K210" s="129" t="s">
        <v>0</v>
      </c>
      <c r="L210" s="129" t="s">
        <v>0</v>
      </c>
      <c r="M210" s="105">
        <f>M211</f>
        <v>247456</v>
      </c>
      <c r="N210" s="105">
        <f t="shared" ref="N210:O210" si="93">N211</f>
        <v>247456</v>
      </c>
      <c r="O210" s="105">
        <f t="shared" si="93"/>
        <v>247456</v>
      </c>
      <c r="P210" s="157">
        <f t="shared" si="89"/>
        <v>1</v>
      </c>
    </row>
    <row r="211" spans="1:16" s="101" customFormat="1" ht="31.5" x14ac:dyDescent="0.2">
      <c r="A211" s="96" t="s">
        <v>367</v>
      </c>
      <c r="B211" s="97" t="s">
        <v>99</v>
      </c>
      <c r="C211" s="97" t="s">
        <v>14</v>
      </c>
      <c r="D211" s="97" t="s">
        <v>72</v>
      </c>
      <c r="E211" s="97" t="s">
        <v>66</v>
      </c>
      <c r="F211" s="97" t="s">
        <v>32</v>
      </c>
      <c r="G211" s="97" t="s">
        <v>34</v>
      </c>
      <c r="H211" s="97" t="s">
        <v>153</v>
      </c>
      <c r="I211" s="97" t="s">
        <v>144</v>
      </c>
      <c r="J211" s="98" t="s">
        <v>94</v>
      </c>
      <c r="K211" s="145">
        <v>0.22</v>
      </c>
      <c r="L211" s="98">
        <v>2018</v>
      </c>
      <c r="M211" s="99">
        <f>300000-52544</f>
        <v>247456</v>
      </c>
      <c r="N211" s="99">
        <f>300000-52544</f>
        <v>247456</v>
      </c>
      <c r="O211" s="99">
        <f>300000-52544</f>
        <v>247456</v>
      </c>
      <c r="P211" s="156">
        <f t="shared" si="89"/>
        <v>1</v>
      </c>
    </row>
    <row r="212" spans="1:16" s="101" customFormat="1" ht="31.5" x14ac:dyDescent="0.2">
      <c r="A212" s="112" t="s">
        <v>169</v>
      </c>
      <c r="B212" s="129" t="s">
        <v>0</v>
      </c>
      <c r="C212" s="129" t="s">
        <v>0</v>
      </c>
      <c r="D212" s="129" t="s">
        <v>0</v>
      </c>
      <c r="E212" s="129" t="s">
        <v>0</v>
      </c>
      <c r="F212" s="129" t="s">
        <v>0</v>
      </c>
      <c r="G212" s="129" t="s">
        <v>0</v>
      </c>
      <c r="H212" s="129" t="s">
        <v>0</v>
      </c>
      <c r="I212" s="129" t="s">
        <v>0</v>
      </c>
      <c r="J212" s="129" t="s">
        <v>0</v>
      </c>
      <c r="K212" s="129" t="s">
        <v>0</v>
      </c>
      <c r="L212" s="129" t="s">
        <v>0</v>
      </c>
      <c r="M212" s="105">
        <f>M213</f>
        <v>238157.98</v>
      </c>
      <c r="N212" s="105">
        <f t="shared" ref="N212:O212" si="94">N213</f>
        <v>238157.98</v>
      </c>
      <c r="O212" s="105">
        <f t="shared" si="94"/>
        <v>238157.98</v>
      </c>
      <c r="P212" s="157">
        <f t="shared" si="89"/>
        <v>1</v>
      </c>
    </row>
    <row r="213" spans="1:16" s="101" customFormat="1" ht="47.25" x14ac:dyDescent="0.2">
      <c r="A213" s="96" t="s">
        <v>200</v>
      </c>
      <c r="B213" s="97" t="s">
        <v>99</v>
      </c>
      <c r="C213" s="97" t="s">
        <v>14</v>
      </c>
      <c r="D213" s="97" t="s">
        <v>72</v>
      </c>
      <c r="E213" s="97" t="s">
        <v>66</v>
      </c>
      <c r="F213" s="97" t="s">
        <v>32</v>
      </c>
      <c r="G213" s="97" t="s">
        <v>34</v>
      </c>
      <c r="H213" s="97" t="s">
        <v>153</v>
      </c>
      <c r="I213" s="97" t="s">
        <v>144</v>
      </c>
      <c r="J213" s="98" t="s">
        <v>94</v>
      </c>
      <c r="K213" s="98">
        <v>0.28000000000000003</v>
      </c>
      <c r="L213" s="98">
        <v>2018</v>
      </c>
      <c r="M213" s="99">
        <f>248235-10077.02</f>
        <v>238157.98</v>
      </c>
      <c r="N213" s="99">
        <f>248235-10077.02</f>
        <v>238157.98</v>
      </c>
      <c r="O213" s="99">
        <f>248235-10077.02</f>
        <v>238157.98</v>
      </c>
      <c r="P213" s="156">
        <f t="shared" si="89"/>
        <v>1</v>
      </c>
    </row>
    <row r="214" spans="1:16" s="101" customFormat="1" ht="47.25" x14ac:dyDescent="0.2">
      <c r="A214" s="112" t="s">
        <v>280</v>
      </c>
      <c r="B214" s="113" t="s">
        <v>99</v>
      </c>
      <c r="C214" s="113" t="s">
        <v>14</v>
      </c>
      <c r="D214" s="113">
        <v>17</v>
      </c>
      <c r="E214" s="113" t="s">
        <v>0</v>
      </c>
      <c r="F214" s="113" t="s">
        <v>0</v>
      </c>
      <c r="G214" s="113" t="s">
        <v>0</v>
      </c>
      <c r="H214" s="114" t="s">
        <v>0</v>
      </c>
      <c r="I214" s="114" t="s">
        <v>0</v>
      </c>
      <c r="J214" s="114" t="s">
        <v>0</v>
      </c>
      <c r="K214" s="114" t="s">
        <v>0</v>
      </c>
      <c r="L214" s="114" t="s">
        <v>0</v>
      </c>
      <c r="M214" s="105">
        <f>M215</f>
        <v>60997636.840000011</v>
      </c>
      <c r="N214" s="105">
        <f t="shared" ref="N214:O218" si="95">N215</f>
        <v>60994305.970000006</v>
      </c>
      <c r="O214" s="105">
        <f t="shared" si="95"/>
        <v>60994305.970000006</v>
      </c>
      <c r="P214" s="157">
        <f t="shared" si="89"/>
        <v>0.99994539345829503</v>
      </c>
    </row>
    <row r="215" spans="1:16" s="101" customFormat="1" ht="31.5" x14ac:dyDescent="0.2">
      <c r="A215" s="112" t="s">
        <v>288</v>
      </c>
      <c r="B215" s="113" t="s">
        <v>99</v>
      </c>
      <c r="C215" s="113" t="s">
        <v>14</v>
      </c>
      <c r="D215" s="113">
        <v>17</v>
      </c>
      <c r="E215" s="113" t="s">
        <v>66</v>
      </c>
      <c r="F215" s="113" t="s">
        <v>0</v>
      </c>
      <c r="G215" s="113" t="s">
        <v>0</v>
      </c>
      <c r="H215" s="114" t="s">
        <v>0</v>
      </c>
      <c r="I215" s="114" t="s">
        <v>0</v>
      </c>
      <c r="J215" s="114" t="s">
        <v>0</v>
      </c>
      <c r="K215" s="114" t="s">
        <v>0</v>
      </c>
      <c r="L215" s="114" t="s">
        <v>0</v>
      </c>
      <c r="M215" s="105">
        <f>M216</f>
        <v>60997636.840000011</v>
      </c>
      <c r="N215" s="105">
        <f t="shared" si="95"/>
        <v>60994305.970000006</v>
      </c>
      <c r="O215" s="105">
        <f t="shared" si="95"/>
        <v>60994305.970000006</v>
      </c>
      <c r="P215" s="157">
        <f t="shared" si="89"/>
        <v>0.99994539345829503</v>
      </c>
    </row>
    <row r="216" spans="1:16" s="101" customFormat="1" ht="31.5" x14ac:dyDescent="0.2">
      <c r="A216" s="115" t="s">
        <v>31</v>
      </c>
      <c r="B216" s="113" t="s">
        <v>99</v>
      </c>
      <c r="C216" s="113" t="s">
        <v>14</v>
      </c>
      <c r="D216" s="113">
        <v>17</v>
      </c>
      <c r="E216" s="113" t="s">
        <v>66</v>
      </c>
      <c r="F216" s="113" t="s">
        <v>32</v>
      </c>
      <c r="G216" s="113" t="s">
        <v>0</v>
      </c>
      <c r="H216" s="113" t="s">
        <v>0</v>
      </c>
      <c r="I216" s="113" t="s">
        <v>0</v>
      </c>
      <c r="J216" s="113" t="s">
        <v>0</v>
      </c>
      <c r="K216" s="113" t="s">
        <v>0</v>
      </c>
      <c r="L216" s="113" t="s">
        <v>0</v>
      </c>
      <c r="M216" s="105">
        <f>M217</f>
        <v>60997636.840000011</v>
      </c>
      <c r="N216" s="105">
        <f t="shared" si="95"/>
        <v>60994305.970000006</v>
      </c>
      <c r="O216" s="105">
        <f t="shared" si="95"/>
        <v>60994305.970000006</v>
      </c>
      <c r="P216" s="157">
        <f t="shared" si="89"/>
        <v>0.99994539345829503</v>
      </c>
    </row>
    <row r="217" spans="1:16" s="101" customFormat="1" ht="15.75" x14ac:dyDescent="0.2">
      <c r="A217" s="115" t="s">
        <v>33</v>
      </c>
      <c r="B217" s="113" t="s">
        <v>99</v>
      </c>
      <c r="C217" s="113" t="s">
        <v>14</v>
      </c>
      <c r="D217" s="113">
        <v>17</v>
      </c>
      <c r="E217" s="113" t="s">
        <v>66</v>
      </c>
      <c r="F217" s="113" t="s">
        <v>32</v>
      </c>
      <c r="G217" s="113" t="s">
        <v>34</v>
      </c>
      <c r="H217" s="113" t="s">
        <v>0</v>
      </c>
      <c r="I217" s="113" t="s">
        <v>0</v>
      </c>
      <c r="J217" s="113" t="s">
        <v>0</v>
      </c>
      <c r="K217" s="113" t="s">
        <v>0</v>
      </c>
      <c r="L217" s="113" t="s">
        <v>0</v>
      </c>
      <c r="M217" s="105">
        <f>M218</f>
        <v>60997636.840000011</v>
      </c>
      <c r="N217" s="105">
        <f t="shared" si="95"/>
        <v>60994305.970000006</v>
      </c>
      <c r="O217" s="105">
        <f t="shared" si="95"/>
        <v>60994305.970000006</v>
      </c>
      <c r="P217" s="157">
        <f t="shared" si="89"/>
        <v>0.99994539345829503</v>
      </c>
    </row>
    <row r="218" spans="1:16" s="101" customFormat="1" ht="47.25" x14ac:dyDescent="0.2">
      <c r="A218" s="112" t="s">
        <v>152</v>
      </c>
      <c r="B218" s="113" t="s">
        <v>99</v>
      </c>
      <c r="C218" s="113" t="s">
        <v>14</v>
      </c>
      <c r="D218" s="113">
        <v>17</v>
      </c>
      <c r="E218" s="113" t="s">
        <v>66</v>
      </c>
      <c r="F218" s="113" t="s">
        <v>32</v>
      </c>
      <c r="G218" s="113" t="s">
        <v>34</v>
      </c>
      <c r="H218" s="113" t="s">
        <v>153</v>
      </c>
      <c r="I218" s="114" t="s">
        <v>0</v>
      </c>
      <c r="J218" s="114" t="s">
        <v>0</v>
      </c>
      <c r="K218" s="114" t="s">
        <v>0</v>
      </c>
      <c r="L218" s="114" t="s">
        <v>0</v>
      </c>
      <c r="M218" s="105">
        <f>M219</f>
        <v>60997636.840000011</v>
      </c>
      <c r="N218" s="105">
        <f t="shared" si="95"/>
        <v>60994305.970000006</v>
      </c>
      <c r="O218" s="105">
        <f t="shared" si="95"/>
        <v>60994305.970000006</v>
      </c>
      <c r="P218" s="157">
        <f t="shared" si="89"/>
        <v>0.99994539345829503</v>
      </c>
    </row>
    <row r="219" spans="1:16" s="101" customFormat="1" ht="63" x14ac:dyDescent="0.2">
      <c r="A219" s="112" t="s">
        <v>290</v>
      </c>
      <c r="B219" s="113" t="s">
        <v>99</v>
      </c>
      <c r="C219" s="113" t="s">
        <v>14</v>
      </c>
      <c r="D219" s="113">
        <v>17</v>
      </c>
      <c r="E219" s="113" t="s">
        <v>66</v>
      </c>
      <c r="F219" s="113" t="s">
        <v>32</v>
      </c>
      <c r="G219" s="113" t="s">
        <v>34</v>
      </c>
      <c r="H219" s="113" t="s">
        <v>153</v>
      </c>
      <c r="I219" s="113" t="s">
        <v>144</v>
      </c>
      <c r="J219" s="113" t="s">
        <v>0</v>
      </c>
      <c r="K219" s="146"/>
      <c r="L219" s="113" t="s">
        <v>0</v>
      </c>
      <c r="M219" s="105">
        <f>M220+M222+M224+M226+M229+M231+M233+M235+M237+M240+M242</f>
        <v>60997636.840000011</v>
      </c>
      <c r="N219" s="105">
        <f t="shared" ref="N219:O219" si="96">N220+N222+N224+N226+N229+N231+N233+N235+N237+N240+N242</f>
        <v>60994305.970000006</v>
      </c>
      <c r="O219" s="105">
        <f t="shared" si="96"/>
        <v>60994305.970000006</v>
      </c>
      <c r="P219" s="157">
        <f t="shared" si="89"/>
        <v>0.99994539345829503</v>
      </c>
    </row>
    <row r="220" spans="1:16" s="101" customFormat="1" ht="15.75" x14ac:dyDescent="0.2">
      <c r="A220" s="112" t="s">
        <v>230</v>
      </c>
      <c r="B220" s="129" t="s">
        <v>0</v>
      </c>
      <c r="C220" s="129" t="s">
        <v>0</v>
      </c>
      <c r="D220" s="129" t="s">
        <v>0</v>
      </c>
      <c r="E220" s="129" t="s">
        <v>0</v>
      </c>
      <c r="F220" s="129" t="s">
        <v>0</v>
      </c>
      <c r="G220" s="129" t="s">
        <v>0</v>
      </c>
      <c r="H220" s="129" t="s">
        <v>0</v>
      </c>
      <c r="I220" s="129" t="s">
        <v>0</v>
      </c>
      <c r="J220" s="129" t="s">
        <v>0</v>
      </c>
      <c r="K220" s="129" t="s">
        <v>0</v>
      </c>
      <c r="L220" s="129" t="s">
        <v>0</v>
      </c>
      <c r="M220" s="105">
        <f>M221</f>
        <v>11750608.01</v>
      </c>
      <c r="N220" s="105">
        <f t="shared" ref="N220:O220" si="97">N221</f>
        <v>11750606.890000001</v>
      </c>
      <c r="O220" s="105">
        <f t="shared" si="97"/>
        <v>11750606.890000001</v>
      </c>
      <c r="P220" s="157">
        <f t="shared" si="89"/>
        <v>0.99999990468578326</v>
      </c>
    </row>
    <row r="221" spans="1:16" s="101" customFormat="1" ht="47.25" x14ac:dyDescent="0.2">
      <c r="A221" s="96" t="s">
        <v>322</v>
      </c>
      <c r="B221" s="97" t="s">
        <v>99</v>
      </c>
      <c r="C221" s="97" t="s">
        <v>14</v>
      </c>
      <c r="D221" s="97">
        <v>17</v>
      </c>
      <c r="E221" s="97" t="s">
        <v>66</v>
      </c>
      <c r="F221" s="97" t="s">
        <v>32</v>
      </c>
      <c r="G221" s="97" t="s">
        <v>34</v>
      </c>
      <c r="H221" s="97" t="s">
        <v>153</v>
      </c>
      <c r="I221" s="97" t="s">
        <v>144</v>
      </c>
      <c r="J221" s="98" t="s">
        <v>94</v>
      </c>
      <c r="K221" s="98">
        <v>2.7570000000000001</v>
      </c>
      <c r="L221" s="98">
        <v>2018</v>
      </c>
      <c r="M221" s="99">
        <f>12810722.45-950000-110114.44</f>
        <v>11750608.01</v>
      </c>
      <c r="N221" s="99">
        <v>11750606.890000001</v>
      </c>
      <c r="O221" s="99">
        <v>11750606.890000001</v>
      </c>
      <c r="P221" s="156">
        <f t="shared" si="89"/>
        <v>0.99999990468578326</v>
      </c>
    </row>
    <row r="222" spans="1:16" s="101" customFormat="1" ht="15.75" x14ac:dyDescent="0.2">
      <c r="A222" s="112" t="s">
        <v>161</v>
      </c>
      <c r="B222" s="129" t="s">
        <v>0</v>
      </c>
      <c r="C222" s="129" t="s">
        <v>0</v>
      </c>
      <c r="D222" s="129" t="s">
        <v>0</v>
      </c>
      <c r="E222" s="129" t="s">
        <v>0</v>
      </c>
      <c r="F222" s="129" t="s">
        <v>0</v>
      </c>
      <c r="G222" s="129" t="s">
        <v>0</v>
      </c>
      <c r="H222" s="129" t="s">
        <v>0</v>
      </c>
      <c r="I222" s="129" t="s">
        <v>0</v>
      </c>
      <c r="J222" s="129" t="s">
        <v>0</v>
      </c>
      <c r="K222" s="129" t="s">
        <v>0</v>
      </c>
      <c r="L222" s="129" t="s">
        <v>0</v>
      </c>
      <c r="M222" s="105">
        <f>M223</f>
        <v>7369602.29</v>
      </c>
      <c r="N222" s="105">
        <f t="shared" ref="N222:O222" si="98">N223</f>
        <v>7369602.29</v>
      </c>
      <c r="O222" s="105">
        <f t="shared" si="98"/>
        <v>7369602.29</v>
      </c>
      <c r="P222" s="157">
        <f t="shared" si="89"/>
        <v>1</v>
      </c>
    </row>
    <row r="223" spans="1:16" s="101" customFormat="1" ht="47.25" x14ac:dyDescent="0.2">
      <c r="A223" s="96" t="s">
        <v>234</v>
      </c>
      <c r="B223" s="97" t="s">
        <v>99</v>
      </c>
      <c r="C223" s="97" t="s">
        <v>14</v>
      </c>
      <c r="D223" s="97">
        <v>17</v>
      </c>
      <c r="E223" s="97" t="s">
        <v>66</v>
      </c>
      <c r="F223" s="97" t="s">
        <v>32</v>
      </c>
      <c r="G223" s="97" t="s">
        <v>34</v>
      </c>
      <c r="H223" s="97" t="s">
        <v>153</v>
      </c>
      <c r="I223" s="97" t="s">
        <v>144</v>
      </c>
      <c r="J223" s="98" t="s">
        <v>94</v>
      </c>
      <c r="K223" s="98">
        <v>1.6539999999999999</v>
      </c>
      <c r="L223" s="98">
        <v>2018</v>
      </c>
      <c r="M223" s="99">
        <f>8050290.5-371027.18-38277.58-271383.45</f>
        <v>7369602.29</v>
      </c>
      <c r="N223" s="99">
        <f>8050290.5-371027.18-38277.58-271383.45</f>
        <v>7369602.29</v>
      </c>
      <c r="O223" s="99">
        <f>8050290.5-371027.18-38277.58-271383.45</f>
        <v>7369602.29</v>
      </c>
      <c r="P223" s="156">
        <f t="shared" si="89"/>
        <v>1</v>
      </c>
    </row>
    <row r="224" spans="1:16" s="101" customFormat="1" ht="31.5" x14ac:dyDescent="0.2">
      <c r="A224" s="112" t="s">
        <v>396</v>
      </c>
      <c r="B224" s="129" t="s">
        <v>0</v>
      </c>
      <c r="C224" s="129" t="s">
        <v>0</v>
      </c>
      <c r="D224" s="129" t="s">
        <v>0</v>
      </c>
      <c r="E224" s="129" t="s">
        <v>0</v>
      </c>
      <c r="F224" s="129" t="s">
        <v>0</v>
      </c>
      <c r="G224" s="129" t="s">
        <v>0</v>
      </c>
      <c r="H224" s="129" t="s">
        <v>0</v>
      </c>
      <c r="I224" s="129" t="s">
        <v>0</v>
      </c>
      <c r="J224" s="129" t="s">
        <v>0</v>
      </c>
      <c r="K224" s="129" t="s">
        <v>0</v>
      </c>
      <c r="L224" s="129" t="s">
        <v>0</v>
      </c>
      <c r="M224" s="105">
        <f>M225</f>
        <v>6796462.0899999999</v>
      </c>
      <c r="N224" s="105">
        <f t="shared" ref="N224:O224" si="99">N225</f>
        <v>6796462.0899999999</v>
      </c>
      <c r="O224" s="105">
        <f t="shared" si="99"/>
        <v>6796462.0899999999</v>
      </c>
      <c r="P224" s="157">
        <f t="shared" si="89"/>
        <v>1</v>
      </c>
    </row>
    <row r="225" spans="1:16" s="101" customFormat="1" ht="47.25" x14ac:dyDescent="0.2">
      <c r="A225" s="96" t="s">
        <v>397</v>
      </c>
      <c r="B225" s="97" t="s">
        <v>99</v>
      </c>
      <c r="C225" s="97" t="s">
        <v>14</v>
      </c>
      <c r="D225" s="97">
        <v>17</v>
      </c>
      <c r="E225" s="97" t="s">
        <v>66</v>
      </c>
      <c r="F225" s="97" t="s">
        <v>32</v>
      </c>
      <c r="G225" s="97" t="s">
        <v>34</v>
      </c>
      <c r="H225" s="97" t="s">
        <v>153</v>
      </c>
      <c r="I225" s="97" t="s">
        <v>144</v>
      </c>
      <c r="J225" s="98" t="s">
        <v>158</v>
      </c>
      <c r="K225" s="98">
        <v>1</v>
      </c>
      <c r="L225" s="98">
        <v>2018</v>
      </c>
      <c r="M225" s="99">
        <f>6934477.5-138015.41</f>
        <v>6796462.0899999999</v>
      </c>
      <c r="N225" s="99">
        <f>6934477.5-138015.41</f>
        <v>6796462.0899999999</v>
      </c>
      <c r="O225" s="99">
        <f>6934477.5-138015.41</f>
        <v>6796462.0899999999</v>
      </c>
      <c r="P225" s="156">
        <f t="shared" si="89"/>
        <v>1</v>
      </c>
    </row>
    <row r="226" spans="1:16" s="101" customFormat="1" ht="15.75" x14ac:dyDescent="0.2">
      <c r="A226" s="112" t="s">
        <v>311</v>
      </c>
      <c r="B226" s="129" t="s">
        <v>0</v>
      </c>
      <c r="C226" s="129" t="s">
        <v>0</v>
      </c>
      <c r="D226" s="129" t="s">
        <v>0</v>
      </c>
      <c r="E226" s="129" t="s">
        <v>0</v>
      </c>
      <c r="F226" s="129" t="s">
        <v>0</v>
      </c>
      <c r="G226" s="129" t="s">
        <v>0</v>
      </c>
      <c r="H226" s="129" t="s">
        <v>0</v>
      </c>
      <c r="I226" s="129" t="s">
        <v>0</v>
      </c>
      <c r="J226" s="129" t="s">
        <v>0</v>
      </c>
      <c r="K226" s="129" t="s">
        <v>0</v>
      </c>
      <c r="L226" s="129" t="s">
        <v>0</v>
      </c>
      <c r="M226" s="105">
        <f>M227+M228</f>
        <v>3249539.1399999997</v>
      </c>
      <c r="N226" s="105">
        <f t="shared" ref="N226:O226" si="100">N227+N228</f>
        <v>3249539.1399999997</v>
      </c>
      <c r="O226" s="105">
        <f t="shared" si="100"/>
        <v>3249539.1399999997</v>
      </c>
      <c r="P226" s="157">
        <f t="shared" si="89"/>
        <v>1</v>
      </c>
    </row>
    <row r="227" spans="1:16" s="101" customFormat="1" ht="47.25" x14ac:dyDescent="0.2">
      <c r="A227" s="96" t="s">
        <v>340</v>
      </c>
      <c r="B227" s="97" t="s">
        <v>99</v>
      </c>
      <c r="C227" s="97" t="s">
        <v>14</v>
      </c>
      <c r="D227" s="97">
        <v>17</v>
      </c>
      <c r="E227" s="97" t="s">
        <v>66</v>
      </c>
      <c r="F227" s="97" t="s">
        <v>32</v>
      </c>
      <c r="G227" s="97" t="s">
        <v>34</v>
      </c>
      <c r="H227" s="97" t="s">
        <v>153</v>
      </c>
      <c r="I227" s="97" t="s">
        <v>144</v>
      </c>
      <c r="J227" s="98" t="s">
        <v>284</v>
      </c>
      <c r="K227" s="98">
        <v>1</v>
      </c>
      <c r="L227" s="98">
        <v>2018</v>
      </c>
      <c r="M227" s="99">
        <f>1895345+47620.65</f>
        <v>1942965.65</v>
      </c>
      <c r="N227" s="99">
        <f>1895345+47620.65</f>
        <v>1942965.65</v>
      </c>
      <c r="O227" s="99">
        <f>1895345+47620.65</f>
        <v>1942965.65</v>
      </c>
      <c r="P227" s="156">
        <f t="shared" si="89"/>
        <v>1</v>
      </c>
    </row>
    <row r="228" spans="1:16" s="101" customFormat="1" ht="31.5" x14ac:dyDescent="0.2">
      <c r="A228" s="96" t="s">
        <v>235</v>
      </c>
      <c r="B228" s="97" t="s">
        <v>99</v>
      </c>
      <c r="C228" s="97" t="s">
        <v>14</v>
      </c>
      <c r="D228" s="97">
        <v>17</v>
      </c>
      <c r="E228" s="97" t="s">
        <v>66</v>
      </c>
      <c r="F228" s="97" t="s">
        <v>32</v>
      </c>
      <c r="G228" s="97" t="s">
        <v>34</v>
      </c>
      <c r="H228" s="97" t="s">
        <v>153</v>
      </c>
      <c r="I228" s="97" t="s">
        <v>144</v>
      </c>
      <c r="J228" s="98" t="s">
        <v>284</v>
      </c>
      <c r="K228" s="98">
        <v>1</v>
      </c>
      <c r="L228" s="98">
        <v>2018</v>
      </c>
      <c r="M228" s="99">
        <f>1215145+228699.2-137270.71</f>
        <v>1306573.49</v>
      </c>
      <c r="N228" s="99">
        <f>1215145+228699.2-137270.71</f>
        <v>1306573.49</v>
      </c>
      <c r="O228" s="99">
        <f>1215145+228699.2-137270.71</f>
        <v>1306573.49</v>
      </c>
      <c r="P228" s="156">
        <f t="shared" si="89"/>
        <v>1</v>
      </c>
    </row>
    <row r="229" spans="1:16" s="106" customFormat="1" ht="31.5" x14ac:dyDescent="0.2">
      <c r="A229" s="102" t="s">
        <v>176</v>
      </c>
      <c r="B229" s="147" t="s">
        <v>0</v>
      </c>
      <c r="C229" s="147" t="s">
        <v>0</v>
      </c>
      <c r="D229" s="147" t="s">
        <v>0</v>
      </c>
      <c r="E229" s="147" t="s">
        <v>0</v>
      </c>
      <c r="F229" s="147" t="s">
        <v>0</v>
      </c>
      <c r="G229" s="147" t="s">
        <v>0</v>
      </c>
      <c r="H229" s="147" t="s">
        <v>0</v>
      </c>
      <c r="I229" s="147" t="s">
        <v>0</v>
      </c>
      <c r="J229" s="147" t="s">
        <v>0</v>
      </c>
      <c r="K229" s="147" t="s">
        <v>0</v>
      </c>
      <c r="L229" s="147" t="s">
        <v>0</v>
      </c>
      <c r="M229" s="105">
        <f>M230</f>
        <v>2675348.2000000002</v>
      </c>
      <c r="N229" s="105">
        <f t="shared" ref="N229:O229" si="101">N230</f>
        <v>2675348.2000000002</v>
      </c>
      <c r="O229" s="105">
        <f t="shared" si="101"/>
        <v>2675348.2000000002</v>
      </c>
      <c r="P229" s="157">
        <f t="shared" si="89"/>
        <v>1</v>
      </c>
    </row>
    <row r="230" spans="1:16" s="106" customFormat="1" ht="63" x14ac:dyDescent="0.2">
      <c r="A230" s="108" t="s">
        <v>271</v>
      </c>
      <c r="B230" s="109" t="s">
        <v>99</v>
      </c>
      <c r="C230" s="109" t="s">
        <v>14</v>
      </c>
      <c r="D230" s="109" t="s">
        <v>80</v>
      </c>
      <c r="E230" s="109" t="s">
        <v>66</v>
      </c>
      <c r="F230" s="109" t="s">
        <v>32</v>
      </c>
      <c r="G230" s="109" t="s">
        <v>34</v>
      </c>
      <c r="H230" s="109" t="s">
        <v>153</v>
      </c>
      <c r="I230" s="109" t="s">
        <v>144</v>
      </c>
      <c r="J230" s="110" t="s">
        <v>94</v>
      </c>
      <c r="K230" s="110" t="s">
        <v>272</v>
      </c>
      <c r="L230" s="98">
        <v>2018</v>
      </c>
      <c r="M230" s="99">
        <f>3898543.5-943785.86-266455.24-12954.2</f>
        <v>2675348.2000000002</v>
      </c>
      <c r="N230" s="99">
        <f>3898543.5-943785.86-266455.24-12954.2</f>
        <v>2675348.2000000002</v>
      </c>
      <c r="O230" s="99">
        <f>3898543.5-943785.86-266455.24-12954.2</f>
        <v>2675348.2000000002</v>
      </c>
      <c r="P230" s="156">
        <f t="shared" si="89"/>
        <v>1</v>
      </c>
    </row>
    <row r="231" spans="1:16" s="101" customFormat="1" ht="15.75" x14ac:dyDescent="0.2">
      <c r="A231" s="112" t="s">
        <v>179</v>
      </c>
      <c r="B231" s="129" t="s">
        <v>0</v>
      </c>
      <c r="C231" s="129" t="s">
        <v>0</v>
      </c>
      <c r="D231" s="129" t="s">
        <v>0</v>
      </c>
      <c r="E231" s="129" t="s">
        <v>0</v>
      </c>
      <c r="F231" s="129" t="s">
        <v>0</v>
      </c>
      <c r="G231" s="129" t="s">
        <v>0</v>
      </c>
      <c r="H231" s="129" t="s">
        <v>0</v>
      </c>
      <c r="I231" s="129" t="s">
        <v>0</v>
      </c>
      <c r="J231" s="129" t="s">
        <v>0</v>
      </c>
      <c r="K231" s="129" t="s">
        <v>0</v>
      </c>
      <c r="L231" s="129" t="s">
        <v>0</v>
      </c>
      <c r="M231" s="105">
        <f>M232</f>
        <v>755856.99</v>
      </c>
      <c r="N231" s="105">
        <f t="shared" ref="N231:O231" si="102">N232</f>
        <v>755856.99</v>
      </c>
      <c r="O231" s="105">
        <f t="shared" si="102"/>
        <v>755856.99</v>
      </c>
      <c r="P231" s="157">
        <f t="shared" si="89"/>
        <v>1</v>
      </c>
    </row>
    <row r="232" spans="1:16" s="101" customFormat="1" ht="78.75" x14ac:dyDescent="0.2">
      <c r="A232" s="96" t="s">
        <v>296</v>
      </c>
      <c r="B232" s="97" t="s">
        <v>99</v>
      </c>
      <c r="C232" s="97" t="s">
        <v>14</v>
      </c>
      <c r="D232" s="97">
        <v>17</v>
      </c>
      <c r="E232" s="97" t="s">
        <v>66</v>
      </c>
      <c r="F232" s="97" t="s">
        <v>32</v>
      </c>
      <c r="G232" s="97" t="s">
        <v>34</v>
      </c>
      <c r="H232" s="97" t="s">
        <v>153</v>
      </c>
      <c r="I232" s="97" t="s">
        <v>144</v>
      </c>
      <c r="J232" s="98" t="s">
        <v>94</v>
      </c>
      <c r="K232" s="98" t="s">
        <v>241</v>
      </c>
      <c r="L232" s="98">
        <v>2018</v>
      </c>
      <c r="M232" s="99">
        <f>1291873-466209-69807.01</f>
        <v>755856.99</v>
      </c>
      <c r="N232" s="99">
        <f>1291873-466209-69807.01</f>
        <v>755856.99</v>
      </c>
      <c r="O232" s="99">
        <f>1291873-466209-69807.01</f>
        <v>755856.99</v>
      </c>
      <c r="P232" s="156">
        <f t="shared" si="89"/>
        <v>1</v>
      </c>
    </row>
    <row r="233" spans="1:16" s="101" customFormat="1" ht="31.5" x14ac:dyDescent="0.2">
      <c r="A233" s="112" t="s">
        <v>167</v>
      </c>
      <c r="B233" s="129" t="s">
        <v>0</v>
      </c>
      <c r="C233" s="129" t="s">
        <v>0</v>
      </c>
      <c r="D233" s="129" t="s">
        <v>0</v>
      </c>
      <c r="E233" s="129" t="s">
        <v>0</v>
      </c>
      <c r="F233" s="129" t="s">
        <v>0</v>
      </c>
      <c r="G233" s="129" t="s">
        <v>0</v>
      </c>
      <c r="H233" s="129" t="s">
        <v>0</v>
      </c>
      <c r="I233" s="129" t="s">
        <v>0</v>
      </c>
      <c r="J233" s="129" t="s">
        <v>0</v>
      </c>
      <c r="K233" s="129" t="s">
        <v>0</v>
      </c>
      <c r="L233" s="129" t="s">
        <v>0</v>
      </c>
      <c r="M233" s="105">
        <f>M234</f>
        <v>3455628.3200000003</v>
      </c>
      <c r="N233" s="105">
        <f t="shared" ref="N233:O233" si="103">N234</f>
        <v>3452298.57</v>
      </c>
      <c r="O233" s="105">
        <f t="shared" si="103"/>
        <v>3452298.57</v>
      </c>
      <c r="P233" s="157">
        <f t="shared" si="89"/>
        <v>0.99903642704259343</v>
      </c>
    </row>
    <row r="234" spans="1:16" s="101" customFormat="1" ht="47.25" x14ac:dyDescent="0.2">
      <c r="A234" s="96" t="s">
        <v>243</v>
      </c>
      <c r="B234" s="97" t="s">
        <v>99</v>
      </c>
      <c r="C234" s="97" t="s">
        <v>14</v>
      </c>
      <c r="D234" s="97">
        <v>17</v>
      </c>
      <c r="E234" s="97" t="s">
        <v>66</v>
      </c>
      <c r="F234" s="97" t="s">
        <v>32</v>
      </c>
      <c r="G234" s="97" t="s">
        <v>34</v>
      </c>
      <c r="H234" s="97" t="s">
        <v>153</v>
      </c>
      <c r="I234" s="97" t="s">
        <v>144</v>
      </c>
      <c r="J234" s="98" t="s">
        <v>158</v>
      </c>
      <c r="K234" s="98">
        <v>1</v>
      </c>
      <c r="L234" s="98">
        <v>2018</v>
      </c>
      <c r="M234" s="99">
        <f>5225000-1417871.69-340579.74-10920.25</f>
        <v>3455628.3200000003</v>
      </c>
      <c r="N234" s="99">
        <v>3452298.57</v>
      </c>
      <c r="O234" s="99">
        <v>3452298.57</v>
      </c>
      <c r="P234" s="156">
        <f t="shared" si="89"/>
        <v>0.99903642704259343</v>
      </c>
    </row>
    <row r="235" spans="1:16" s="101" customFormat="1" ht="15.75" x14ac:dyDescent="0.2">
      <c r="A235" s="112" t="s">
        <v>224</v>
      </c>
      <c r="B235" s="129" t="s">
        <v>0</v>
      </c>
      <c r="C235" s="129" t="s">
        <v>0</v>
      </c>
      <c r="D235" s="129" t="s">
        <v>0</v>
      </c>
      <c r="E235" s="129" t="s">
        <v>0</v>
      </c>
      <c r="F235" s="129" t="s">
        <v>0</v>
      </c>
      <c r="G235" s="129" t="s">
        <v>0</v>
      </c>
      <c r="H235" s="129" t="s">
        <v>0</v>
      </c>
      <c r="I235" s="129" t="s">
        <v>0</v>
      </c>
      <c r="J235" s="129" t="s">
        <v>0</v>
      </c>
      <c r="K235" s="129" t="s">
        <v>0</v>
      </c>
      <c r="L235" s="129" t="s">
        <v>0</v>
      </c>
      <c r="M235" s="105">
        <f>M236</f>
        <v>845179.85000000009</v>
      </c>
      <c r="N235" s="105">
        <f t="shared" ref="N235:O235" si="104">N236</f>
        <v>845179.85000000009</v>
      </c>
      <c r="O235" s="105">
        <f t="shared" si="104"/>
        <v>845179.85000000009</v>
      </c>
      <c r="P235" s="157">
        <f t="shared" si="89"/>
        <v>1</v>
      </c>
    </row>
    <row r="236" spans="1:16" s="101" customFormat="1" ht="47.25" x14ac:dyDescent="0.2">
      <c r="A236" s="96" t="s">
        <v>395</v>
      </c>
      <c r="B236" s="97" t="s">
        <v>99</v>
      </c>
      <c r="C236" s="97" t="s">
        <v>14</v>
      </c>
      <c r="D236" s="97">
        <v>17</v>
      </c>
      <c r="E236" s="97" t="s">
        <v>66</v>
      </c>
      <c r="F236" s="97" t="s">
        <v>32</v>
      </c>
      <c r="G236" s="97" t="s">
        <v>34</v>
      </c>
      <c r="H236" s="97" t="s">
        <v>153</v>
      </c>
      <c r="I236" s="97" t="s">
        <v>144</v>
      </c>
      <c r="J236" s="98" t="s">
        <v>94</v>
      </c>
      <c r="K236" s="98">
        <v>0.80400000000000005</v>
      </c>
      <c r="L236" s="98">
        <v>2018</v>
      </c>
      <c r="M236" s="99">
        <f>1163389-152900.6-165308.55</f>
        <v>845179.85000000009</v>
      </c>
      <c r="N236" s="99">
        <f>1163389-152900.6-165308.55</f>
        <v>845179.85000000009</v>
      </c>
      <c r="O236" s="99">
        <f>1163389-152900.6-165308.55</f>
        <v>845179.85000000009</v>
      </c>
      <c r="P236" s="156">
        <f t="shared" si="89"/>
        <v>1</v>
      </c>
    </row>
    <row r="237" spans="1:16" s="101" customFormat="1" ht="15.75" x14ac:dyDescent="0.2">
      <c r="A237" s="112" t="s">
        <v>194</v>
      </c>
      <c r="B237" s="129" t="s">
        <v>0</v>
      </c>
      <c r="C237" s="129" t="s">
        <v>0</v>
      </c>
      <c r="D237" s="129" t="s">
        <v>0</v>
      </c>
      <c r="E237" s="129" t="s">
        <v>0</v>
      </c>
      <c r="F237" s="129" t="s">
        <v>0</v>
      </c>
      <c r="G237" s="129" t="s">
        <v>0</v>
      </c>
      <c r="H237" s="129" t="s">
        <v>0</v>
      </c>
      <c r="I237" s="129" t="s">
        <v>0</v>
      </c>
      <c r="J237" s="129" t="s">
        <v>0</v>
      </c>
      <c r="K237" s="129" t="s">
        <v>0</v>
      </c>
      <c r="L237" s="129" t="s">
        <v>0</v>
      </c>
      <c r="M237" s="105">
        <f>M238+M239</f>
        <v>10683909.23</v>
      </c>
      <c r="N237" s="105">
        <f t="shared" ref="N237:O237" si="105">N238+N239</f>
        <v>10683909.23</v>
      </c>
      <c r="O237" s="105">
        <f t="shared" si="105"/>
        <v>10683909.23</v>
      </c>
      <c r="P237" s="157">
        <f t="shared" si="89"/>
        <v>1</v>
      </c>
    </row>
    <row r="238" spans="1:16" s="101" customFormat="1" ht="63" x14ac:dyDescent="0.2">
      <c r="A238" s="96" t="s">
        <v>244</v>
      </c>
      <c r="B238" s="97" t="s">
        <v>99</v>
      </c>
      <c r="C238" s="97" t="s">
        <v>14</v>
      </c>
      <c r="D238" s="97">
        <v>17</v>
      </c>
      <c r="E238" s="97" t="s">
        <v>66</v>
      </c>
      <c r="F238" s="97" t="s">
        <v>32</v>
      </c>
      <c r="G238" s="97" t="s">
        <v>34</v>
      </c>
      <c r="H238" s="97" t="s">
        <v>153</v>
      </c>
      <c r="I238" s="97" t="s">
        <v>144</v>
      </c>
      <c r="J238" s="98" t="s">
        <v>94</v>
      </c>
      <c r="K238" s="98" t="s">
        <v>245</v>
      </c>
      <c r="L238" s="98">
        <v>2018</v>
      </c>
      <c r="M238" s="99">
        <f>3837772-225087.3-7736.88</f>
        <v>3604947.8200000003</v>
      </c>
      <c r="N238" s="99">
        <f>3837772-225087.3-7736.88</f>
        <v>3604947.8200000003</v>
      </c>
      <c r="O238" s="99">
        <f>3837772-225087.3-7736.88</f>
        <v>3604947.8200000003</v>
      </c>
      <c r="P238" s="156">
        <f t="shared" si="89"/>
        <v>1</v>
      </c>
    </row>
    <row r="239" spans="1:16" s="101" customFormat="1" ht="63" x14ac:dyDescent="0.2">
      <c r="A239" s="96" t="s">
        <v>246</v>
      </c>
      <c r="B239" s="97" t="s">
        <v>99</v>
      </c>
      <c r="C239" s="97" t="s">
        <v>14</v>
      </c>
      <c r="D239" s="97">
        <v>17</v>
      </c>
      <c r="E239" s="97" t="s">
        <v>66</v>
      </c>
      <c r="F239" s="97" t="s">
        <v>32</v>
      </c>
      <c r="G239" s="97" t="s">
        <v>34</v>
      </c>
      <c r="H239" s="97" t="s">
        <v>153</v>
      </c>
      <c r="I239" s="97" t="s">
        <v>144</v>
      </c>
      <c r="J239" s="98" t="s">
        <v>94</v>
      </c>
      <c r="K239" s="98">
        <v>5.78</v>
      </c>
      <c r="L239" s="98">
        <v>2018</v>
      </c>
      <c r="M239" s="99">
        <f>7242828.5-163867.09</f>
        <v>7078961.4100000001</v>
      </c>
      <c r="N239" s="99">
        <f>7242828.5-163867.09</f>
        <v>7078961.4100000001</v>
      </c>
      <c r="O239" s="99">
        <f>7242828.5-163867.09</f>
        <v>7078961.4100000001</v>
      </c>
      <c r="P239" s="156">
        <f t="shared" si="89"/>
        <v>1</v>
      </c>
    </row>
    <row r="240" spans="1:16" s="101" customFormat="1" ht="31.5" x14ac:dyDescent="0.2">
      <c r="A240" s="112" t="s">
        <v>169</v>
      </c>
      <c r="B240" s="129" t="s">
        <v>0</v>
      </c>
      <c r="C240" s="129" t="s">
        <v>0</v>
      </c>
      <c r="D240" s="129" t="s">
        <v>0</v>
      </c>
      <c r="E240" s="129" t="s">
        <v>0</v>
      </c>
      <c r="F240" s="129" t="s">
        <v>0</v>
      </c>
      <c r="G240" s="129" t="s">
        <v>0</v>
      </c>
      <c r="H240" s="129" t="s">
        <v>0</v>
      </c>
      <c r="I240" s="129" t="s">
        <v>0</v>
      </c>
      <c r="J240" s="129" t="s">
        <v>0</v>
      </c>
      <c r="K240" s="129" t="s">
        <v>0</v>
      </c>
      <c r="L240" s="129" t="s">
        <v>0</v>
      </c>
      <c r="M240" s="105">
        <f>M241</f>
        <v>10375107.520000001</v>
      </c>
      <c r="N240" s="105">
        <f t="shared" ref="N240:O240" si="106">N241</f>
        <v>10375107.520000001</v>
      </c>
      <c r="O240" s="105">
        <f t="shared" si="106"/>
        <v>10375107.520000001</v>
      </c>
      <c r="P240" s="157">
        <f t="shared" si="89"/>
        <v>1</v>
      </c>
    </row>
    <row r="241" spans="1:16" s="101" customFormat="1" ht="47.25" x14ac:dyDescent="0.2">
      <c r="A241" s="96" t="s">
        <v>247</v>
      </c>
      <c r="B241" s="97" t="s">
        <v>99</v>
      </c>
      <c r="C241" s="97" t="s">
        <v>14</v>
      </c>
      <c r="D241" s="97">
        <v>17</v>
      </c>
      <c r="E241" s="97" t="s">
        <v>66</v>
      </c>
      <c r="F241" s="97" t="s">
        <v>32</v>
      </c>
      <c r="G241" s="97" t="s">
        <v>34</v>
      </c>
      <c r="H241" s="97" t="s">
        <v>153</v>
      </c>
      <c r="I241" s="97" t="s">
        <v>144</v>
      </c>
      <c r="J241" s="98" t="s">
        <v>94</v>
      </c>
      <c r="K241" s="98">
        <v>2</v>
      </c>
      <c r="L241" s="98">
        <v>2018</v>
      </c>
      <c r="M241" s="99">
        <f>10932771-496546.95-61116.53</f>
        <v>10375107.520000001</v>
      </c>
      <c r="N241" s="99">
        <f>10932771-496546.95-61116.53</f>
        <v>10375107.520000001</v>
      </c>
      <c r="O241" s="99">
        <f>10932771-496546.95-61116.53</f>
        <v>10375107.520000001</v>
      </c>
      <c r="P241" s="156">
        <f t="shared" si="89"/>
        <v>1</v>
      </c>
    </row>
    <row r="242" spans="1:16" s="101" customFormat="1" ht="15.75" x14ac:dyDescent="0.2">
      <c r="A242" s="112" t="s">
        <v>172</v>
      </c>
      <c r="B242" s="129" t="s">
        <v>0</v>
      </c>
      <c r="C242" s="129" t="s">
        <v>0</v>
      </c>
      <c r="D242" s="129" t="s">
        <v>0</v>
      </c>
      <c r="E242" s="129" t="s">
        <v>0</v>
      </c>
      <c r="F242" s="129" t="s">
        <v>0</v>
      </c>
      <c r="G242" s="129" t="s">
        <v>0</v>
      </c>
      <c r="H242" s="129" t="s">
        <v>0</v>
      </c>
      <c r="I242" s="129" t="s">
        <v>0</v>
      </c>
      <c r="J242" s="129" t="s">
        <v>0</v>
      </c>
      <c r="K242" s="129" t="s">
        <v>0</v>
      </c>
      <c r="L242" s="129" t="s">
        <v>0</v>
      </c>
      <c r="M242" s="105">
        <f>M243</f>
        <v>3040395.1999999997</v>
      </c>
      <c r="N242" s="105">
        <f t="shared" ref="N242:O242" si="107">N243</f>
        <v>3040395.1999999997</v>
      </c>
      <c r="O242" s="105">
        <f t="shared" si="107"/>
        <v>3040395.1999999997</v>
      </c>
      <c r="P242" s="157">
        <f t="shared" si="89"/>
        <v>1</v>
      </c>
    </row>
    <row r="243" spans="1:16" s="101" customFormat="1" ht="47.25" x14ac:dyDescent="0.2">
      <c r="A243" s="96" t="s">
        <v>341</v>
      </c>
      <c r="B243" s="97" t="s">
        <v>99</v>
      </c>
      <c r="C243" s="97" t="s">
        <v>14</v>
      </c>
      <c r="D243" s="97">
        <v>17</v>
      </c>
      <c r="E243" s="97" t="s">
        <v>66</v>
      </c>
      <c r="F243" s="97" t="s">
        <v>32</v>
      </c>
      <c r="G243" s="97" t="s">
        <v>34</v>
      </c>
      <c r="H243" s="97" t="s">
        <v>153</v>
      </c>
      <c r="I243" s="97" t="s">
        <v>144</v>
      </c>
      <c r="J243" s="98" t="s">
        <v>158</v>
      </c>
      <c r="K243" s="98">
        <v>1</v>
      </c>
      <c r="L243" s="98">
        <v>2018</v>
      </c>
      <c r="M243" s="99">
        <f>3748734.86-260171.01-339741.72-108426.93</f>
        <v>3040395.1999999997</v>
      </c>
      <c r="N243" s="99">
        <f>3748734.86-260171.01-339741.72-108426.93</f>
        <v>3040395.1999999997</v>
      </c>
      <c r="O243" s="99">
        <f>3748734.86-260171.01-339741.72-108426.93</f>
        <v>3040395.1999999997</v>
      </c>
      <c r="P243" s="156">
        <f t="shared" si="89"/>
        <v>1</v>
      </c>
    </row>
    <row r="244" spans="1:16" s="101" customFormat="1" ht="31.5" x14ac:dyDescent="0.2">
      <c r="A244" s="112" t="s">
        <v>282</v>
      </c>
      <c r="B244" s="113" t="s">
        <v>99</v>
      </c>
      <c r="C244" s="113" t="s">
        <v>14</v>
      </c>
      <c r="D244" s="113">
        <v>18</v>
      </c>
      <c r="E244" s="113" t="s">
        <v>0</v>
      </c>
      <c r="F244" s="113" t="s">
        <v>0</v>
      </c>
      <c r="G244" s="113" t="s">
        <v>0</v>
      </c>
      <c r="H244" s="114" t="s">
        <v>0</v>
      </c>
      <c r="I244" s="114" t="s">
        <v>0</v>
      </c>
      <c r="J244" s="114" t="s">
        <v>0</v>
      </c>
      <c r="K244" s="114" t="s">
        <v>0</v>
      </c>
      <c r="L244" s="114" t="s">
        <v>0</v>
      </c>
      <c r="M244" s="105">
        <f>M245</f>
        <v>269829641.76999998</v>
      </c>
      <c r="N244" s="105">
        <f t="shared" ref="N244:O248" si="108">N245</f>
        <v>250062193.08000001</v>
      </c>
      <c r="O244" s="105">
        <f t="shared" si="108"/>
        <v>250062193.08000001</v>
      </c>
      <c r="P244" s="157">
        <f t="shared" si="89"/>
        <v>0.92674100384104752</v>
      </c>
    </row>
    <row r="245" spans="1:16" s="101" customFormat="1" ht="31.5" x14ac:dyDescent="0.2">
      <c r="A245" s="112" t="s">
        <v>288</v>
      </c>
      <c r="B245" s="113" t="s">
        <v>99</v>
      </c>
      <c r="C245" s="113" t="s">
        <v>14</v>
      </c>
      <c r="D245" s="113">
        <v>18</v>
      </c>
      <c r="E245" s="113" t="s">
        <v>66</v>
      </c>
      <c r="F245" s="113" t="s">
        <v>0</v>
      </c>
      <c r="G245" s="113" t="s">
        <v>0</v>
      </c>
      <c r="H245" s="114" t="s">
        <v>0</v>
      </c>
      <c r="I245" s="114" t="s">
        <v>0</v>
      </c>
      <c r="J245" s="114" t="s">
        <v>0</v>
      </c>
      <c r="K245" s="114" t="s">
        <v>0</v>
      </c>
      <c r="L245" s="114" t="s">
        <v>0</v>
      </c>
      <c r="M245" s="105">
        <f>M246</f>
        <v>269829641.76999998</v>
      </c>
      <c r="N245" s="105">
        <f t="shared" si="108"/>
        <v>250062193.08000001</v>
      </c>
      <c r="O245" s="105">
        <f t="shared" si="108"/>
        <v>250062193.08000001</v>
      </c>
      <c r="P245" s="157">
        <f t="shared" si="89"/>
        <v>0.92674100384104752</v>
      </c>
    </row>
    <row r="246" spans="1:16" s="101" customFormat="1" ht="31.5" x14ac:dyDescent="0.2">
      <c r="A246" s="115" t="s">
        <v>31</v>
      </c>
      <c r="B246" s="113" t="s">
        <v>99</v>
      </c>
      <c r="C246" s="113" t="s">
        <v>14</v>
      </c>
      <c r="D246" s="113">
        <v>18</v>
      </c>
      <c r="E246" s="113" t="s">
        <v>66</v>
      </c>
      <c r="F246" s="113" t="s">
        <v>32</v>
      </c>
      <c r="G246" s="113" t="s">
        <v>0</v>
      </c>
      <c r="H246" s="113" t="s">
        <v>0</v>
      </c>
      <c r="I246" s="113" t="s">
        <v>0</v>
      </c>
      <c r="J246" s="113" t="s">
        <v>0</v>
      </c>
      <c r="K246" s="113" t="s">
        <v>0</v>
      </c>
      <c r="L246" s="113" t="s">
        <v>0</v>
      </c>
      <c r="M246" s="105">
        <f>M247</f>
        <v>269829641.76999998</v>
      </c>
      <c r="N246" s="105">
        <f t="shared" si="108"/>
        <v>250062193.08000001</v>
      </c>
      <c r="O246" s="105">
        <f t="shared" si="108"/>
        <v>250062193.08000001</v>
      </c>
      <c r="P246" s="157">
        <f t="shared" si="89"/>
        <v>0.92674100384104752</v>
      </c>
    </row>
    <row r="247" spans="1:16" s="101" customFormat="1" ht="15.75" x14ac:dyDescent="0.2">
      <c r="A247" s="115" t="s">
        <v>33</v>
      </c>
      <c r="B247" s="113" t="s">
        <v>99</v>
      </c>
      <c r="C247" s="113" t="s">
        <v>14</v>
      </c>
      <c r="D247" s="113">
        <v>18</v>
      </c>
      <c r="E247" s="113" t="s">
        <v>66</v>
      </c>
      <c r="F247" s="113" t="s">
        <v>32</v>
      </c>
      <c r="G247" s="113" t="s">
        <v>34</v>
      </c>
      <c r="H247" s="113" t="s">
        <v>0</v>
      </c>
      <c r="I247" s="113" t="s">
        <v>0</v>
      </c>
      <c r="J247" s="113" t="s">
        <v>0</v>
      </c>
      <c r="K247" s="113" t="s">
        <v>0</v>
      </c>
      <c r="L247" s="113" t="s">
        <v>0</v>
      </c>
      <c r="M247" s="105">
        <f>M248</f>
        <v>269829641.76999998</v>
      </c>
      <c r="N247" s="105">
        <f t="shared" si="108"/>
        <v>250062193.08000001</v>
      </c>
      <c r="O247" s="105">
        <f t="shared" si="108"/>
        <v>250062193.08000001</v>
      </c>
      <c r="P247" s="157">
        <f t="shared" si="89"/>
        <v>0.92674100384104752</v>
      </c>
    </row>
    <row r="248" spans="1:16" s="101" customFormat="1" ht="47.25" x14ac:dyDescent="0.2">
      <c r="A248" s="112" t="s">
        <v>152</v>
      </c>
      <c r="B248" s="113" t="s">
        <v>99</v>
      </c>
      <c r="C248" s="113" t="s">
        <v>14</v>
      </c>
      <c r="D248" s="113">
        <v>18</v>
      </c>
      <c r="E248" s="113" t="s">
        <v>66</v>
      </c>
      <c r="F248" s="113" t="s">
        <v>32</v>
      </c>
      <c r="G248" s="113" t="s">
        <v>34</v>
      </c>
      <c r="H248" s="113" t="s">
        <v>153</v>
      </c>
      <c r="I248" s="114" t="s">
        <v>0</v>
      </c>
      <c r="J248" s="114" t="s">
        <v>0</v>
      </c>
      <c r="K248" s="114" t="s">
        <v>0</v>
      </c>
      <c r="L248" s="114" t="s">
        <v>0</v>
      </c>
      <c r="M248" s="105">
        <f>M249</f>
        <v>269829641.76999998</v>
      </c>
      <c r="N248" s="105">
        <f t="shared" si="108"/>
        <v>250062193.08000001</v>
      </c>
      <c r="O248" s="105">
        <f t="shared" si="108"/>
        <v>250062193.08000001</v>
      </c>
      <c r="P248" s="157">
        <f t="shared" si="89"/>
        <v>0.92674100384104752</v>
      </c>
    </row>
    <row r="249" spans="1:16" s="101" customFormat="1" ht="63" x14ac:dyDescent="0.2">
      <c r="A249" s="112" t="s">
        <v>290</v>
      </c>
      <c r="B249" s="113" t="s">
        <v>99</v>
      </c>
      <c r="C249" s="113" t="s">
        <v>14</v>
      </c>
      <c r="D249" s="113">
        <v>18</v>
      </c>
      <c r="E249" s="113" t="s">
        <v>66</v>
      </c>
      <c r="F249" s="113" t="s">
        <v>32</v>
      </c>
      <c r="G249" s="113" t="s">
        <v>34</v>
      </c>
      <c r="H249" s="113" t="s">
        <v>153</v>
      </c>
      <c r="I249" s="113" t="s">
        <v>144</v>
      </c>
      <c r="J249" s="113" t="s">
        <v>0</v>
      </c>
      <c r="K249" s="113" t="s">
        <v>0</v>
      </c>
      <c r="L249" s="113" t="s">
        <v>0</v>
      </c>
      <c r="M249" s="105">
        <f>M250+M256</f>
        <v>269829641.76999998</v>
      </c>
      <c r="N249" s="105">
        <f t="shared" ref="N249:O249" si="109">N250+N256</f>
        <v>250062193.08000001</v>
      </c>
      <c r="O249" s="105">
        <f t="shared" si="109"/>
        <v>250062193.08000001</v>
      </c>
      <c r="P249" s="157">
        <f t="shared" si="89"/>
        <v>0.92674100384104752</v>
      </c>
    </row>
    <row r="250" spans="1:16" s="101" customFormat="1" ht="15.75" x14ac:dyDescent="0.2">
      <c r="A250" s="112" t="s">
        <v>174</v>
      </c>
      <c r="B250" s="129" t="s">
        <v>0</v>
      </c>
      <c r="C250" s="129" t="s">
        <v>0</v>
      </c>
      <c r="D250" s="129"/>
      <c r="E250" s="129" t="s">
        <v>0</v>
      </c>
      <c r="F250" s="129" t="s">
        <v>0</v>
      </c>
      <c r="G250" s="129" t="s">
        <v>0</v>
      </c>
      <c r="H250" s="129" t="s">
        <v>0</v>
      </c>
      <c r="I250" s="129" t="s">
        <v>0</v>
      </c>
      <c r="J250" s="129" t="s">
        <v>0</v>
      </c>
      <c r="K250" s="129" t="s">
        <v>0</v>
      </c>
      <c r="L250" s="129" t="s">
        <v>0</v>
      </c>
      <c r="M250" s="105">
        <f>M251+M252+M253+M254+M255</f>
        <v>269031848.87</v>
      </c>
      <c r="N250" s="105">
        <f t="shared" ref="N250:O250" si="110">N251+N252+N253+N254+N255</f>
        <v>249264400.18000001</v>
      </c>
      <c r="O250" s="105">
        <f t="shared" si="110"/>
        <v>249264400.18000001</v>
      </c>
      <c r="P250" s="157">
        <f t="shared" si="89"/>
        <v>0.92652376001938752</v>
      </c>
    </row>
    <row r="251" spans="1:16" s="101" customFormat="1" ht="141.75" x14ac:dyDescent="0.2">
      <c r="A251" s="96" t="s">
        <v>295</v>
      </c>
      <c r="B251" s="97" t="s">
        <v>99</v>
      </c>
      <c r="C251" s="97" t="s">
        <v>14</v>
      </c>
      <c r="D251" s="97">
        <v>18</v>
      </c>
      <c r="E251" s="97" t="s">
        <v>66</v>
      </c>
      <c r="F251" s="97" t="s">
        <v>32</v>
      </c>
      <c r="G251" s="97" t="s">
        <v>34</v>
      </c>
      <c r="H251" s="97" t="s">
        <v>153</v>
      </c>
      <c r="I251" s="97" t="s">
        <v>144</v>
      </c>
      <c r="J251" s="98" t="s">
        <v>283</v>
      </c>
      <c r="K251" s="98">
        <v>4869</v>
      </c>
      <c r="L251" s="98">
        <v>2020</v>
      </c>
      <c r="M251" s="99">
        <v>127283280</v>
      </c>
      <c r="N251" s="99">
        <v>126630717.15000001</v>
      </c>
      <c r="O251" s="99">
        <v>126630717.15000001</v>
      </c>
      <c r="P251" s="156">
        <f t="shared" si="89"/>
        <v>0.99487314555376016</v>
      </c>
    </row>
    <row r="252" spans="1:16" s="101" customFormat="1" ht="110.25" x14ac:dyDescent="0.2">
      <c r="A252" s="96" t="s">
        <v>372</v>
      </c>
      <c r="B252" s="97" t="s">
        <v>99</v>
      </c>
      <c r="C252" s="97" t="s">
        <v>14</v>
      </c>
      <c r="D252" s="97">
        <v>18</v>
      </c>
      <c r="E252" s="97" t="s">
        <v>66</v>
      </c>
      <c r="F252" s="97" t="s">
        <v>32</v>
      </c>
      <c r="G252" s="97" t="s">
        <v>34</v>
      </c>
      <c r="H252" s="97" t="s">
        <v>153</v>
      </c>
      <c r="I252" s="97" t="s">
        <v>144</v>
      </c>
      <c r="J252" s="98" t="s">
        <v>283</v>
      </c>
      <c r="K252" s="98">
        <v>664</v>
      </c>
      <c r="L252" s="98">
        <v>2018</v>
      </c>
      <c r="M252" s="99">
        <f>18031285-4660538-262171.05</f>
        <v>13108575.949999999</v>
      </c>
      <c r="N252" s="99">
        <v>11106324.6</v>
      </c>
      <c r="O252" s="99">
        <v>11106324.6</v>
      </c>
      <c r="P252" s="156">
        <f t="shared" si="89"/>
        <v>0.84725637951542709</v>
      </c>
    </row>
    <row r="253" spans="1:16" s="101" customFormat="1" ht="126" x14ac:dyDescent="0.2">
      <c r="A253" s="96" t="s">
        <v>373</v>
      </c>
      <c r="B253" s="97" t="s">
        <v>99</v>
      </c>
      <c r="C253" s="97" t="s">
        <v>14</v>
      </c>
      <c r="D253" s="97">
        <v>18</v>
      </c>
      <c r="E253" s="97" t="s">
        <v>66</v>
      </c>
      <c r="F253" s="97" t="s">
        <v>32</v>
      </c>
      <c r="G253" s="97" t="s">
        <v>34</v>
      </c>
      <c r="H253" s="97" t="s">
        <v>153</v>
      </c>
      <c r="I253" s="97" t="s">
        <v>144</v>
      </c>
      <c r="J253" s="98" t="s">
        <v>283</v>
      </c>
      <c r="K253" s="98">
        <v>429</v>
      </c>
      <c r="L253" s="98">
        <v>2018</v>
      </c>
      <c r="M253" s="99">
        <f>11219927-803714.7</f>
        <v>10416212.300000001</v>
      </c>
      <c r="N253" s="99">
        <v>8266564.6500000004</v>
      </c>
      <c r="O253" s="99">
        <v>8266564.6500000004</v>
      </c>
      <c r="P253" s="156">
        <f t="shared" si="89"/>
        <v>0.79362482367990905</v>
      </c>
    </row>
    <row r="254" spans="1:16" s="101" customFormat="1" ht="78.75" x14ac:dyDescent="0.2">
      <c r="A254" s="96" t="s">
        <v>374</v>
      </c>
      <c r="B254" s="97" t="s">
        <v>99</v>
      </c>
      <c r="C254" s="97" t="s">
        <v>14</v>
      </c>
      <c r="D254" s="97">
        <v>18</v>
      </c>
      <c r="E254" s="97" t="s">
        <v>66</v>
      </c>
      <c r="F254" s="97" t="s">
        <v>32</v>
      </c>
      <c r="G254" s="97" t="s">
        <v>34</v>
      </c>
      <c r="H254" s="97" t="s">
        <v>153</v>
      </c>
      <c r="I254" s="97" t="s">
        <v>144</v>
      </c>
      <c r="J254" s="98" t="s">
        <v>283</v>
      </c>
      <c r="K254" s="98">
        <v>1004</v>
      </c>
      <c r="L254" s="98">
        <v>2018</v>
      </c>
      <c r="M254" s="99">
        <f>10789748-1920258.44</f>
        <v>8869489.5600000005</v>
      </c>
      <c r="N254" s="99">
        <v>8847337.6500000004</v>
      </c>
      <c r="O254" s="99">
        <v>8847337.6500000004</v>
      </c>
      <c r="P254" s="156">
        <f t="shared" si="89"/>
        <v>0.99750245943127303</v>
      </c>
    </row>
    <row r="255" spans="1:16" s="101" customFormat="1" ht="78.75" x14ac:dyDescent="0.2">
      <c r="A255" s="96" t="s">
        <v>376</v>
      </c>
      <c r="B255" s="97" t="s">
        <v>99</v>
      </c>
      <c r="C255" s="97" t="s">
        <v>14</v>
      </c>
      <c r="D255" s="97">
        <v>18</v>
      </c>
      <c r="E255" s="97" t="s">
        <v>66</v>
      </c>
      <c r="F255" s="97" t="s">
        <v>32</v>
      </c>
      <c r="G255" s="97" t="s">
        <v>34</v>
      </c>
      <c r="H255" s="97" t="s">
        <v>153</v>
      </c>
      <c r="I255" s="97" t="s">
        <v>144</v>
      </c>
      <c r="J255" s="98" t="s">
        <v>283</v>
      </c>
      <c r="K255" s="98">
        <v>5388</v>
      </c>
      <c r="L255" s="98">
        <v>2020</v>
      </c>
      <c r="M255" s="99">
        <f>107254815+2099476.06</f>
        <v>109354291.06</v>
      </c>
      <c r="N255" s="99">
        <v>94413456.129999995</v>
      </c>
      <c r="O255" s="99">
        <v>94413456.129999995</v>
      </c>
      <c r="P255" s="156">
        <f t="shared" si="89"/>
        <v>0.86337221168758393</v>
      </c>
    </row>
    <row r="256" spans="1:16" s="101" customFormat="1" ht="15.75" x14ac:dyDescent="0.2">
      <c r="A256" s="112" t="s">
        <v>346</v>
      </c>
      <c r="B256" s="129" t="s">
        <v>0</v>
      </c>
      <c r="C256" s="129" t="s">
        <v>0</v>
      </c>
      <c r="D256" s="129"/>
      <c r="E256" s="129" t="s">
        <v>0</v>
      </c>
      <c r="F256" s="129" t="s">
        <v>0</v>
      </c>
      <c r="G256" s="129" t="s">
        <v>0</v>
      </c>
      <c r="H256" s="129" t="s">
        <v>0</v>
      </c>
      <c r="I256" s="129" t="s">
        <v>0</v>
      </c>
      <c r="J256" s="129" t="s">
        <v>0</v>
      </c>
      <c r="K256" s="129" t="s">
        <v>0</v>
      </c>
      <c r="L256" s="129" t="s">
        <v>0</v>
      </c>
      <c r="M256" s="105">
        <f>M257</f>
        <v>797792.9</v>
      </c>
      <c r="N256" s="105">
        <f t="shared" ref="N256:O256" si="111">N257</f>
        <v>797792.9</v>
      </c>
      <c r="O256" s="105">
        <f t="shared" si="111"/>
        <v>797792.9</v>
      </c>
      <c r="P256" s="157">
        <f t="shared" si="89"/>
        <v>1</v>
      </c>
    </row>
    <row r="257" spans="1:16" s="152" customFormat="1" ht="47.25" x14ac:dyDescent="0.2">
      <c r="A257" s="148" t="s">
        <v>347</v>
      </c>
      <c r="B257" s="149" t="s">
        <v>99</v>
      </c>
      <c r="C257" s="149" t="s">
        <v>14</v>
      </c>
      <c r="D257" s="149">
        <v>18</v>
      </c>
      <c r="E257" s="149" t="s">
        <v>66</v>
      </c>
      <c r="F257" s="149" t="s">
        <v>32</v>
      </c>
      <c r="G257" s="149" t="s">
        <v>34</v>
      </c>
      <c r="H257" s="149" t="s">
        <v>153</v>
      </c>
      <c r="I257" s="149" t="s">
        <v>144</v>
      </c>
      <c r="J257" s="150" t="s">
        <v>391</v>
      </c>
      <c r="K257" s="150">
        <v>24</v>
      </c>
      <c r="L257" s="150">
        <v>2018</v>
      </c>
      <c r="M257" s="151">
        <f>1129360-281858.35-49708.75</f>
        <v>797792.9</v>
      </c>
      <c r="N257" s="151">
        <f>1129360-281858.35-49708.75</f>
        <v>797792.9</v>
      </c>
      <c r="O257" s="151">
        <f>1129360-281858.35-49708.75</f>
        <v>797792.9</v>
      </c>
      <c r="P257" s="156">
        <f t="shared" si="89"/>
        <v>1</v>
      </c>
    </row>
    <row r="258" spans="1:16" s="101" customFormat="1" ht="63" x14ac:dyDescent="0.2">
      <c r="A258" s="112" t="s">
        <v>281</v>
      </c>
      <c r="B258" s="113" t="s">
        <v>99</v>
      </c>
      <c r="C258" s="113" t="s">
        <v>14</v>
      </c>
      <c r="D258" s="113">
        <v>19</v>
      </c>
      <c r="E258" s="113" t="s">
        <v>0</v>
      </c>
      <c r="F258" s="113" t="s">
        <v>0</v>
      </c>
      <c r="G258" s="113" t="s">
        <v>0</v>
      </c>
      <c r="H258" s="114" t="s">
        <v>0</v>
      </c>
      <c r="I258" s="114" t="s">
        <v>0</v>
      </c>
      <c r="J258" s="114" t="s">
        <v>0</v>
      </c>
      <c r="K258" s="114" t="s">
        <v>0</v>
      </c>
      <c r="L258" s="114" t="s">
        <v>0</v>
      </c>
      <c r="M258" s="105">
        <f t="shared" ref="M258:O264" si="112">M259</f>
        <v>4947965.2700000005</v>
      </c>
      <c r="N258" s="105">
        <f t="shared" si="112"/>
        <v>4947965.2700000005</v>
      </c>
      <c r="O258" s="105">
        <f t="shared" si="112"/>
        <v>4947965.2700000005</v>
      </c>
      <c r="P258" s="157">
        <f t="shared" si="89"/>
        <v>1</v>
      </c>
    </row>
    <row r="259" spans="1:16" s="101" customFormat="1" ht="31.5" x14ac:dyDescent="0.2">
      <c r="A259" s="112" t="s">
        <v>288</v>
      </c>
      <c r="B259" s="113" t="s">
        <v>99</v>
      </c>
      <c r="C259" s="113" t="s">
        <v>14</v>
      </c>
      <c r="D259" s="113">
        <v>19</v>
      </c>
      <c r="E259" s="113" t="s">
        <v>66</v>
      </c>
      <c r="F259" s="113" t="s">
        <v>0</v>
      </c>
      <c r="G259" s="113" t="s">
        <v>0</v>
      </c>
      <c r="H259" s="114" t="s">
        <v>0</v>
      </c>
      <c r="I259" s="114" t="s">
        <v>0</v>
      </c>
      <c r="J259" s="114" t="s">
        <v>0</v>
      </c>
      <c r="K259" s="114" t="s">
        <v>0</v>
      </c>
      <c r="L259" s="114" t="s">
        <v>0</v>
      </c>
      <c r="M259" s="105">
        <f t="shared" si="112"/>
        <v>4947965.2700000005</v>
      </c>
      <c r="N259" s="105">
        <f t="shared" si="112"/>
        <v>4947965.2700000005</v>
      </c>
      <c r="O259" s="105">
        <f t="shared" si="112"/>
        <v>4947965.2700000005</v>
      </c>
      <c r="P259" s="157">
        <f t="shared" si="89"/>
        <v>1</v>
      </c>
    </row>
    <row r="260" spans="1:16" s="101" customFormat="1" ht="31.5" x14ac:dyDescent="0.2">
      <c r="A260" s="115" t="s">
        <v>31</v>
      </c>
      <c r="B260" s="113" t="s">
        <v>99</v>
      </c>
      <c r="C260" s="113" t="s">
        <v>14</v>
      </c>
      <c r="D260" s="113">
        <v>19</v>
      </c>
      <c r="E260" s="113" t="s">
        <v>66</v>
      </c>
      <c r="F260" s="113" t="s">
        <v>32</v>
      </c>
      <c r="G260" s="113" t="s">
        <v>0</v>
      </c>
      <c r="H260" s="113" t="s">
        <v>0</v>
      </c>
      <c r="I260" s="113" t="s">
        <v>0</v>
      </c>
      <c r="J260" s="113" t="s">
        <v>0</v>
      </c>
      <c r="K260" s="113" t="s">
        <v>0</v>
      </c>
      <c r="L260" s="113" t="s">
        <v>0</v>
      </c>
      <c r="M260" s="105">
        <f t="shared" si="112"/>
        <v>4947965.2700000005</v>
      </c>
      <c r="N260" s="105">
        <f t="shared" si="112"/>
        <v>4947965.2700000005</v>
      </c>
      <c r="O260" s="105">
        <f t="shared" si="112"/>
        <v>4947965.2700000005</v>
      </c>
      <c r="P260" s="157">
        <f t="shared" si="89"/>
        <v>1</v>
      </c>
    </row>
    <row r="261" spans="1:16" s="101" customFormat="1" ht="15.75" x14ac:dyDescent="0.2">
      <c r="A261" s="115" t="s">
        <v>33</v>
      </c>
      <c r="B261" s="113" t="s">
        <v>99</v>
      </c>
      <c r="C261" s="113" t="s">
        <v>14</v>
      </c>
      <c r="D261" s="113">
        <v>19</v>
      </c>
      <c r="E261" s="113" t="s">
        <v>66</v>
      </c>
      <c r="F261" s="113" t="s">
        <v>32</v>
      </c>
      <c r="G261" s="113" t="s">
        <v>34</v>
      </c>
      <c r="H261" s="113" t="s">
        <v>0</v>
      </c>
      <c r="I261" s="113" t="s">
        <v>0</v>
      </c>
      <c r="J261" s="113" t="s">
        <v>0</v>
      </c>
      <c r="K261" s="113" t="s">
        <v>0</v>
      </c>
      <c r="L261" s="113" t="s">
        <v>0</v>
      </c>
      <c r="M261" s="105">
        <f t="shared" si="112"/>
        <v>4947965.2700000005</v>
      </c>
      <c r="N261" s="105">
        <f t="shared" si="112"/>
        <v>4947965.2700000005</v>
      </c>
      <c r="O261" s="105">
        <f t="shared" si="112"/>
        <v>4947965.2700000005</v>
      </c>
      <c r="P261" s="157">
        <f t="shared" si="89"/>
        <v>1</v>
      </c>
    </row>
    <row r="262" spans="1:16" s="101" customFormat="1" ht="47.25" x14ac:dyDescent="0.2">
      <c r="A262" s="112" t="s">
        <v>152</v>
      </c>
      <c r="B262" s="113" t="s">
        <v>99</v>
      </c>
      <c r="C262" s="113" t="s">
        <v>14</v>
      </c>
      <c r="D262" s="113">
        <v>19</v>
      </c>
      <c r="E262" s="113" t="s">
        <v>66</v>
      </c>
      <c r="F262" s="113" t="s">
        <v>32</v>
      </c>
      <c r="G262" s="113" t="s">
        <v>34</v>
      </c>
      <c r="H262" s="113" t="s">
        <v>153</v>
      </c>
      <c r="I262" s="114" t="s">
        <v>0</v>
      </c>
      <c r="J262" s="114" t="s">
        <v>0</v>
      </c>
      <c r="K262" s="114" t="s">
        <v>0</v>
      </c>
      <c r="L262" s="114" t="s">
        <v>0</v>
      </c>
      <c r="M262" s="105">
        <f t="shared" si="112"/>
        <v>4947965.2700000005</v>
      </c>
      <c r="N262" s="105">
        <f t="shared" si="112"/>
        <v>4947965.2700000005</v>
      </c>
      <c r="O262" s="105">
        <f t="shared" si="112"/>
        <v>4947965.2700000005</v>
      </c>
      <c r="P262" s="157">
        <f t="shared" si="89"/>
        <v>1</v>
      </c>
    </row>
    <row r="263" spans="1:16" s="101" customFormat="1" ht="63" x14ac:dyDescent="0.2">
      <c r="A263" s="112" t="s">
        <v>290</v>
      </c>
      <c r="B263" s="113" t="s">
        <v>99</v>
      </c>
      <c r="C263" s="113" t="s">
        <v>14</v>
      </c>
      <c r="D263" s="113">
        <v>19</v>
      </c>
      <c r="E263" s="113" t="s">
        <v>66</v>
      </c>
      <c r="F263" s="113" t="s">
        <v>32</v>
      </c>
      <c r="G263" s="113" t="s">
        <v>34</v>
      </c>
      <c r="H263" s="113" t="s">
        <v>153</v>
      </c>
      <c r="I263" s="113" t="s">
        <v>144</v>
      </c>
      <c r="J263" s="113" t="s">
        <v>0</v>
      </c>
      <c r="K263" s="113" t="s">
        <v>0</v>
      </c>
      <c r="L263" s="113" t="s">
        <v>0</v>
      </c>
      <c r="M263" s="105">
        <f t="shared" si="112"/>
        <v>4947965.2700000005</v>
      </c>
      <c r="N263" s="105">
        <f t="shared" si="112"/>
        <v>4947965.2700000005</v>
      </c>
      <c r="O263" s="105">
        <f t="shared" si="112"/>
        <v>4947965.2700000005</v>
      </c>
      <c r="P263" s="157">
        <f t="shared" si="89"/>
        <v>1</v>
      </c>
    </row>
    <row r="264" spans="1:16" s="101" customFormat="1" ht="15.75" x14ac:dyDescent="0.2">
      <c r="A264" s="112" t="s">
        <v>166</v>
      </c>
      <c r="B264" s="129" t="s">
        <v>0</v>
      </c>
      <c r="C264" s="129" t="s">
        <v>0</v>
      </c>
      <c r="D264" s="129" t="s">
        <v>0</v>
      </c>
      <c r="E264" s="129" t="s">
        <v>0</v>
      </c>
      <c r="F264" s="129" t="s">
        <v>0</v>
      </c>
      <c r="G264" s="129" t="s">
        <v>0</v>
      </c>
      <c r="H264" s="129" t="s">
        <v>0</v>
      </c>
      <c r="I264" s="129" t="s">
        <v>0</v>
      </c>
      <c r="J264" s="129" t="s">
        <v>0</v>
      </c>
      <c r="K264" s="129" t="s">
        <v>0</v>
      </c>
      <c r="L264" s="129" t="s">
        <v>0</v>
      </c>
      <c r="M264" s="105">
        <f t="shared" si="112"/>
        <v>4947965.2700000005</v>
      </c>
      <c r="N264" s="105">
        <f t="shared" si="112"/>
        <v>4947965.2700000005</v>
      </c>
      <c r="O264" s="105">
        <f t="shared" si="112"/>
        <v>4947965.2700000005</v>
      </c>
      <c r="P264" s="157">
        <f t="shared" si="89"/>
        <v>1</v>
      </c>
    </row>
    <row r="265" spans="1:16" s="101" customFormat="1" ht="47.25" x14ac:dyDescent="0.2">
      <c r="A265" s="96" t="s">
        <v>336</v>
      </c>
      <c r="B265" s="97" t="s">
        <v>99</v>
      </c>
      <c r="C265" s="97" t="s">
        <v>14</v>
      </c>
      <c r="D265" s="97">
        <v>19</v>
      </c>
      <c r="E265" s="97" t="s">
        <v>66</v>
      </c>
      <c r="F265" s="97" t="s">
        <v>32</v>
      </c>
      <c r="G265" s="97" t="s">
        <v>34</v>
      </c>
      <c r="H265" s="97" t="s">
        <v>153</v>
      </c>
      <c r="I265" s="97" t="s">
        <v>144</v>
      </c>
      <c r="J265" s="98" t="s">
        <v>101</v>
      </c>
      <c r="K265" s="98" t="s">
        <v>240</v>
      </c>
      <c r="L265" s="98">
        <v>2018</v>
      </c>
      <c r="M265" s="99">
        <f>7185260.4-1658747.5-573797.63-4750</f>
        <v>4947965.2700000005</v>
      </c>
      <c r="N265" s="99">
        <f>7185260.4-1658747.5-573797.63-4750</f>
        <v>4947965.2700000005</v>
      </c>
      <c r="O265" s="99">
        <f>7185260.4-1658747.5-573797.63-4750</f>
        <v>4947965.2700000005</v>
      </c>
      <c r="P265" s="156">
        <f t="shared" ref="P265:P309" si="113">O265/M265</f>
        <v>1</v>
      </c>
    </row>
    <row r="266" spans="1:16" s="101" customFormat="1" ht="31.5" x14ac:dyDescent="0.2">
      <c r="A266" s="112" t="s">
        <v>102</v>
      </c>
      <c r="B266" s="113" t="s">
        <v>99</v>
      </c>
      <c r="C266" s="113" t="s">
        <v>15</v>
      </c>
      <c r="D266" s="113" t="s">
        <v>0</v>
      </c>
      <c r="E266" s="113" t="s">
        <v>0</v>
      </c>
      <c r="F266" s="113" t="s">
        <v>0</v>
      </c>
      <c r="G266" s="113" t="s">
        <v>0</v>
      </c>
      <c r="H266" s="114" t="s">
        <v>0</v>
      </c>
      <c r="I266" s="114" t="s">
        <v>0</v>
      </c>
      <c r="J266" s="114" t="s">
        <v>0</v>
      </c>
      <c r="K266" s="114" t="s">
        <v>0</v>
      </c>
      <c r="L266" s="114" t="s">
        <v>0</v>
      </c>
      <c r="M266" s="105">
        <f t="shared" ref="M266:O271" si="114">M267</f>
        <v>142391295.68000001</v>
      </c>
      <c r="N266" s="105">
        <f t="shared" si="114"/>
        <v>142391295.68000001</v>
      </c>
      <c r="O266" s="105">
        <f t="shared" si="114"/>
        <v>142391295.68000001</v>
      </c>
      <c r="P266" s="157">
        <f t="shared" si="113"/>
        <v>1</v>
      </c>
    </row>
    <row r="267" spans="1:16" s="101" customFormat="1" ht="78.75" x14ac:dyDescent="0.2">
      <c r="A267" s="112" t="s">
        <v>103</v>
      </c>
      <c r="B267" s="113" t="s">
        <v>99</v>
      </c>
      <c r="C267" s="113" t="s">
        <v>15</v>
      </c>
      <c r="D267" s="113" t="s">
        <v>81</v>
      </c>
      <c r="E267" s="113" t="s">
        <v>0</v>
      </c>
      <c r="F267" s="113" t="s">
        <v>0</v>
      </c>
      <c r="G267" s="113" t="s">
        <v>0</v>
      </c>
      <c r="H267" s="114" t="s">
        <v>0</v>
      </c>
      <c r="I267" s="114" t="s">
        <v>0</v>
      </c>
      <c r="J267" s="114" t="s">
        <v>0</v>
      </c>
      <c r="K267" s="114" t="s">
        <v>0</v>
      </c>
      <c r="L267" s="114" t="s">
        <v>0</v>
      </c>
      <c r="M267" s="105">
        <f t="shared" si="114"/>
        <v>142391295.68000001</v>
      </c>
      <c r="N267" s="105">
        <f t="shared" si="114"/>
        <v>142391295.68000001</v>
      </c>
      <c r="O267" s="105">
        <f t="shared" si="114"/>
        <v>142391295.68000001</v>
      </c>
      <c r="P267" s="157">
        <f t="shared" si="113"/>
        <v>1</v>
      </c>
    </row>
    <row r="268" spans="1:16" s="101" customFormat="1" ht="31.5" x14ac:dyDescent="0.2">
      <c r="A268" s="112" t="s">
        <v>288</v>
      </c>
      <c r="B268" s="113" t="s">
        <v>99</v>
      </c>
      <c r="C268" s="113" t="s">
        <v>15</v>
      </c>
      <c r="D268" s="113" t="s">
        <v>81</v>
      </c>
      <c r="E268" s="113" t="s">
        <v>66</v>
      </c>
      <c r="F268" s="113" t="s">
        <v>0</v>
      </c>
      <c r="G268" s="113" t="s">
        <v>0</v>
      </c>
      <c r="H268" s="114" t="s">
        <v>0</v>
      </c>
      <c r="I268" s="114" t="s">
        <v>0</v>
      </c>
      <c r="J268" s="114" t="s">
        <v>0</v>
      </c>
      <c r="K268" s="114" t="s">
        <v>0</v>
      </c>
      <c r="L268" s="114" t="s">
        <v>0</v>
      </c>
      <c r="M268" s="105">
        <f t="shared" si="114"/>
        <v>142391295.68000001</v>
      </c>
      <c r="N268" s="105">
        <f t="shared" si="114"/>
        <v>142391295.68000001</v>
      </c>
      <c r="O268" s="105">
        <f t="shared" si="114"/>
        <v>142391295.68000001</v>
      </c>
      <c r="P268" s="157">
        <f t="shared" si="113"/>
        <v>1</v>
      </c>
    </row>
    <row r="269" spans="1:16" s="101" customFormat="1" ht="15.75" x14ac:dyDescent="0.2">
      <c r="A269" s="115" t="s">
        <v>84</v>
      </c>
      <c r="B269" s="113" t="s">
        <v>99</v>
      </c>
      <c r="C269" s="113" t="s">
        <v>15</v>
      </c>
      <c r="D269" s="113" t="s">
        <v>81</v>
      </c>
      <c r="E269" s="113" t="s">
        <v>66</v>
      </c>
      <c r="F269" s="113" t="s">
        <v>85</v>
      </c>
      <c r="G269" s="113" t="s">
        <v>0</v>
      </c>
      <c r="H269" s="113" t="s">
        <v>0</v>
      </c>
      <c r="I269" s="113" t="s">
        <v>0</v>
      </c>
      <c r="J269" s="113" t="s">
        <v>0</v>
      </c>
      <c r="K269" s="113" t="s">
        <v>0</v>
      </c>
      <c r="L269" s="113" t="s">
        <v>0</v>
      </c>
      <c r="M269" s="105">
        <f t="shared" si="114"/>
        <v>142391295.68000001</v>
      </c>
      <c r="N269" s="105">
        <f t="shared" si="114"/>
        <v>142391295.68000001</v>
      </c>
      <c r="O269" s="105">
        <f t="shared" si="114"/>
        <v>142391295.68000001</v>
      </c>
      <c r="P269" s="157">
        <f t="shared" si="113"/>
        <v>1</v>
      </c>
    </row>
    <row r="270" spans="1:16" s="101" customFormat="1" ht="31.5" x14ac:dyDescent="0.2">
      <c r="A270" s="115" t="s">
        <v>90</v>
      </c>
      <c r="B270" s="113" t="s">
        <v>99</v>
      </c>
      <c r="C270" s="113" t="s">
        <v>15</v>
      </c>
      <c r="D270" s="113" t="s">
        <v>81</v>
      </c>
      <c r="E270" s="113" t="s">
        <v>66</v>
      </c>
      <c r="F270" s="113" t="s">
        <v>85</v>
      </c>
      <c r="G270" s="113" t="s">
        <v>91</v>
      </c>
      <c r="H270" s="113" t="s">
        <v>0</v>
      </c>
      <c r="I270" s="113" t="s">
        <v>0</v>
      </c>
      <c r="J270" s="113" t="s">
        <v>0</v>
      </c>
      <c r="K270" s="113" t="s">
        <v>0</v>
      </c>
      <c r="L270" s="113" t="s">
        <v>0</v>
      </c>
      <c r="M270" s="105">
        <f t="shared" si="114"/>
        <v>142391295.68000001</v>
      </c>
      <c r="N270" s="105">
        <f t="shared" si="114"/>
        <v>142391295.68000001</v>
      </c>
      <c r="O270" s="105">
        <f t="shared" si="114"/>
        <v>142391295.68000001</v>
      </c>
      <c r="P270" s="157">
        <f t="shared" si="113"/>
        <v>1</v>
      </c>
    </row>
    <row r="271" spans="1:16" s="101" customFormat="1" ht="63" x14ac:dyDescent="0.2">
      <c r="A271" s="112" t="s">
        <v>248</v>
      </c>
      <c r="B271" s="113" t="s">
        <v>99</v>
      </c>
      <c r="C271" s="113" t="s">
        <v>15</v>
      </c>
      <c r="D271" s="113" t="s">
        <v>81</v>
      </c>
      <c r="E271" s="113" t="s">
        <v>66</v>
      </c>
      <c r="F271" s="113" t="s">
        <v>85</v>
      </c>
      <c r="G271" s="113" t="s">
        <v>91</v>
      </c>
      <c r="H271" s="113" t="s">
        <v>249</v>
      </c>
      <c r="I271" s="114" t="s">
        <v>0</v>
      </c>
      <c r="J271" s="114" t="s">
        <v>0</v>
      </c>
      <c r="K271" s="114" t="s">
        <v>0</v>
      </c>
      <c r="L271" s="114" t="s">
        <v>0</v>
      </c>
      <c r="M271" s="105">
        <f t="shared" si="114"/>
        <v>142391295.68000001</v>
      </c>
      <c r="N271" s="105">
        <f t="shared" si="114"/>
        <v>142391295.68000001</v>
      </c>
      <c r="O271" s="105">
        <f t="shared" si="114"/>
        <v>142391295.68000001</v>
      </c>
      <c r="P271" s="157">
        <f t="shared" si="113"/>
        <v>1</v>
      </c>
    </row>
    <row r="272" spans="1:16" s="101" customFormat="1" ht="63" x14ac:dyDescent="0.2">
      <c r="A272" s="112" t="s">
        <v>290</v>
      </c>
      <c r="B272" s="113" t="s">
        <v>99</v>
      </c>
      <c r="C272" s="113" t="s">
        <v>15</v>
      </c>
      <c r="D272" s="113" t="s">
        <v>81</v>
      </c>
      <c r="E272" s="113" t="s">
        <v>66</v>
      </c>
      <c r="F272" s="113" t="s">
        <v>85</v>
      </c>
      <c r="G272" s="113" t="s">
        <v>91</v>
      </c>
      <c r="H272" s="113" t="s">
        <v>249</v>
      </c>
      <c r="I272" s="113" t="s">
        <v>144</v>
      </c>
      <c r="J272" s="113" t="s">
        <v>0</v>
      </c>
      <c r="K272" s="113" t="s">
        <v>0</v>
      </c>
      <c r="L272" s="113" t="s">
        <v>0</v>
      </c>
      <c r="M272" s="105">
        <f>M273+M275</f>
        <v>142391295.68000001</v>
      </c>
      <c r="N272" s="105">
        <f t="shared" ref="N272:O272" si="115">N273+N275</f>
        <v>142391295.68000001</v>
      </c>
      <c r="O272" s="105">
        <f t="shared" si="115"/>
        <v>142391295.68000001</v>
      </c>
      <c r="P272" s="157">
        <f t="shared" si="113"/>
        <v>1</v>
      </c>
    </row>
    <row r="273" spans="1:16" s="101" customFormat="1" ht="15.75" x14ac:dyDescent="0.2">
      <c r="A273" s="112" t="s">
        <v>230</v>
      </c>
      <c r="B273" s="129" t="s">
        <v>0</v>
      </c>
      <c r="C273" s="129" t="s">
        <v>0</v>
      </c>
      <c r="D273" s="129" t="s">
        <v>0</v>
      </c>
      <c r="E273" s="129" t="s">
        <v>0</v>
      </c>
      <c r="F273" s="129" t="s">
        <v>0</v>
      </c>
      <c r="G273" s="129" t="s">
        <v>0</v>
      </c>
      <c r="H273" s="129" t="s">
        <v>0</v>
      </c>
      <c r="I273" s="129" t="s">
        <v>0</v>
      </c>
      <c r="J273" s="129" t="s">
        <v>0</v>
      </c>
      <c r="K273" s="129" t="s">
        <v>0</v>
      </c>
      <c r="L273" s="129" t="s">
        <v>0</v>
      </c>
      <c r="M273" s="105">
        <f>M274</f>
        <v>27814983.32</v>
      </c>
      <c r="N273" s="105">
        <f t="shared" ref="N273:O273" si="116">N274</f>
        <v>27814983.32</v>
      </c>
      <c r="O273" s="105">
        <f t="shared" si="116"/>
        <v>27814983.32</v>
      </c>
      <c r="P273" s="157">
        <f t="shared" si="113"/>
        <v>1</v>
      </c>
    </row>
    <row r="274" spans="1:16" s="101" customFormat="1" ht="110.25" x14ac:dyDescent="0.2">
      <c r="A274" s="96" t="s">
        <v>250</v>
      </c>
      <c r="B274" s="97" t="s">
        <v>99</v>
      </c>
      <c r="C274" s="97" t="s">
        <v>15</v>
      </c>
      <c r="D274" s="97" t="s">
        <v>81</v>
      </c>
      <c r="E274" s="97" t="s">
        <v>66</v>
      </c>
      <c r="F274" s="97" t="s">
        <v>85</v>
      </c>
      <c r="G274" s="97" t="s">
        <v>91</v>
      </c>
      <c r="H274" s="97" t="s">
        <v>249</v>
      </c>
      <c r="I274" s="97" t="s">
        <v>144</v>
      </c>
      <c r="J274" s="98" t="s">
        <v>94</v>
      </c>
      <c r="K274" s="98">
        <v>0.52800000000000002</v>
      </c>
      <c r="L274" s="98">
        <v>2018</v>
      </c>
      <c r="M274" s="99">
        <f>23380409+4750000-315425.68</f>
        <v>27814983.32</v>
      </c>
      <c r="N274" s="99">
        <f>23380409+4750000-315425.68</f>
        <v>27814983.32</v>
      </c>
      <c r="O274" s="99">
        <f>23380409+4750000-315425.68</f>
        <v>27814983.32</v>
      </c>
      <c r="P274" s="156">
        <f t="shared" si="113"/>
        <v>1</v>
      </c>
    </row>
    <row r="275" spans="1:16" s="101" customFormat="1" ht="15.75" x14ac:dyDescent="0.2">
      <c r="A275" s="112" t="s">
        <v>174</v>
      </c>
      <c r="B275" s="129" t="s">
        <v>0</v>
      </c>
      <c r="C275" s="129" t="s">
        <v>0</v>
      </c>
      <c r="D275" s="129" t="s">
        <v>0</v>
      </c>
      <c r="E275" s="129" t="s">
        <v>0</v>
      </c>
      <c r="F275" s="129" t="s">
        <v>0</v>
      </c>
      <c r="G275" s="129" t="s">
        <v>0</v>
      </c>
      <c r="H275" s="129" t="s">
        <v>0</v>
      </c>
      <c r="I275" s="129" t="s">
        <v>0</v>
      </c>
      <c r="J275" s="129" t="s">
        <v>0</v>
      </c>
      <c r="K275" s="129" t="s">
        <v>0</v>
      </c>
      <c r="L275" s="129" t="s">
        <v>0</v>
      </c>
      <c r="M275" s="105">
        <f>M276+M277+M278+M279</f>
        <v>114576312.36</v>
      </c>
      <c r="N275" s="105">
        <f t="shared" ref="N275:O275" si="117">N276+N277+N278+N279</f>
        <v>114576312.36</v>
      </c>
      <c r="O275" s="105">
        <f t="shared" si="117"/>
        <v>114576312.36</v>
      </c>
      <c r="P275" s="157">
        <f t="shared" si="113"/>
        <v>1</v>
      </c>
    </row>
    <row r="276" spans="1:16" s="101" customFormat="1" ht="47.25" x14ac:dyDescent="0.2">
      <c r="A276" s="96" t="s">
        <v>251</v>
      </c>
      <c r="B276" s="97" t="s">
        <v>99</v>
      </c>
      <c r="C276" s="97" t="s">
        <v>15</v>
      </c>
      <c r="D276" s="97" t="s">
        <v>81</v>
      </c>
      <c r="E276" s="97" t="s">
        <v>66</v>
      </c>
      <c r="F276" s="97" t="s">
        <v>85</v>
      </c>
      <c r="G276" s="97" t="s">
        <v>91</v>
      </c>
      <c r="H276" s="97" t="s">
        <v>249</v>
      </c>
      <c r="I276" s="97" t="s">
        <v>144</v>
      </c>
      <c r="J276" s="98" t="s">
        <v>94</v>
      </c>
      <c r="K276" s="98">
        <v>0.88144</v>
      </c>
      <c r="L276" s="116">
        <v>2019</v>
      </c>
      <c r="M276" s="99">
        <f>26654944+20814790+10016497.36+10983964.4</f>
        <v>68470195.760000005</v>
      </c>
      <c r="N276" s="99">
        <f>26654944+20814790+10016497.36+10983964.4</f>
        <v>68470195.760000005</v>
      </c>
      <c r="O276" s="99">
        <f>26654944+20814790+10016497.36+10983964.4</f>
        <v>68470195.760000005</v>
      </c>
      <c r="P276" s="156">
        <f t="shared" si="113"/>
        <v>1</v>
      </c>
    </row>
    <row r="277" spans="1:16" s="101" customFormat="1" ht="94.5" x14ac:dyDescent="0.2">
      <c r="A277" s="96" t="s">
        <v>253</v>
      </c>
      <c r="B277" s="97" t="s">
        <v>99</v>
      </c>
      <c r="C277" s="97" t="s">
        <v>15</v>
      </c>
      <c r="D277" s="97" t="s">
        <v>81</v>
      </c>
      <c r="E277" s="97" t="s">
        <v>66</v>
      </c>
      <c r="F277" s="97" t="s">
        <v>85</v>
      </c>
      <c r="G277" s="97" t="s">
        <v>91</v>
      </c>
      <c r="H277" s="97" t="s">
        <v>249</v>
      </c>
      <c r="I277" s="97" t="s">
        <v>144</v>
      </c>
      <c r="J277" s="98" t="s">
        <v>94</v>
      </c>
      <c r="K277" s="98"/>
      <c r="L277" s="98">
        <v>2019</v>
      </c>
      <c r="M277" s="99">
        <f>43342682-28422153+24068366-24068364-10983964.4</f>
        <v>3936566.5999999996</v>
      </c>
      <c r="N277" s="99">
        <f>43342682-28422153+24068366-24068364-10983964.4</f>
        <v>3936566.5999999996</v>
      </c>
      <c r="O277" s="99">
        <f>43342682-28422153+24068366-24068364-10983964.4</f>
        <v>3936566.5999999996</v>
      </c>
      <c r="P277" s="156">
        <f t="shared" si="113"/>
        <v>1</v>
      </c>
    </row>
    <row r="278" spans="1:16" s="101" customFormat="1" ht="78.75" x14ac:dyDescent="0.2">
      <c r="A278" s="96" t="s">
        <v>333</v>
      </c>
      <c r="B278" s="97" t="s">
        <v>99</v>
      </c>
      <c r="C278" s="97" t="s">
        <v>15</v>
      </c>
      <c r="D278" s="97" t="s">
        <v>81</v>
      </c>
      <c r="E278" s="97" t="s">
        <v>66</v>
      </c>
      <c r="F278" s="97" t="s">
        <v>85</v>
      </c>
      <c r="G278" s="97" t="s">
        <v>91</v>
      </c>
      <c r="H278" s="97" t="s">
        <v>249</v>
      </c>
      <c r="I278" s="97" t="s">
        <v>144</v>
      </c>
      <c r="J278" s="98" t="s">
        <v>94</v>
      </c>
      <c r="K278" s="98">
        <v>1.18</v>
      </c>
      <c r="L278" s="98">
        <v>2018</v>
      </c>
      <c r="M278" s="99">
        <v>3610000</v>
      </c>
      <c r="N278" s="99">
        <v>3610000</v>
      </c>
      <c r="O278" s="99">
        <v>3610000</v>
      </c>
      <c r="P278" s="156">
        <f t="shared" si="113"/>
        <v>1</v>
      </c>
    </row>
    <row r="279" spans="1:16" s="101" customFormat="1" ht="94.5" x14ac:dyDescent="0.2">
      <c r="A279" s="96" t="s">
        <v>334</v>
      </c>
      <c r="B279" s="97" t="s">
        <v>99</v>
      </c>
      <c r="C279" s="97" t="s">
        <v>15</v>
      </c>
      <c r="D279" s="97" t="s">
        <v>81</v>
      </c>
      <c r="E279" s="97" t="s">
        <v>66</v>
      </c>
      <c r="F279" s="97" t="s">
        <v>85</v>
      </c>
      <c r="G279" s="97" t="s">
        <v>91</v>
      </c>
      <c r="H279" s="97" t="s">
        <v>249</v>
      </c>
      <c r="I279" s="97" t="s">
        <v>144</v>
      </c>
      <c r="J279" s="98" t="s">
        <v>94</v>
      </c>
      <c r="K279" s="98">
        <v>0.318</v>
      </c>
      <c r="L279" s="98">
        <v>2018</v>
      </c>
      <c r="M279" s="99">
        <v>38559550</v>
      </c>
      <c r="N279" s="99">
        <v>38559550</v>
      </c>
      <c r="O279" s="99">
        <v>38559550</v>
      </c>
      <c r="P279" s="156">
        <f t="shared" si="113"/>
        <v>1</v>
      </c>
    </row>
    <row r="280" spans="1:16" s="101" customFormat="1" ht="98.25" customHeight="1" x14ac:dyDescent="0.2">
      <c r="A280" s="112" t="s">
        <v>254</v>
      </c>
      <c r="B280" s="113" t="s">
        <v>255</v>
      </c>
      <c r="C280" s="113" t="s">
        <v>0</v>
      </c>
      <c r="D280" s="113" t="s">
        <v>0</v>
      </c>
      <c r="E280" s="113" t="s">
        <v>0</v>
      </c>
      <c r="F280" s="113" t="s">
        <v>0</v>
      </c>
      <c r="G280" s="113" t="s">
        <v>0</v>
      </c>
      <c r="H280" s="114" t="s">
        <v>0</v>
      </c>
      <c r="I280" s="114" t="s">
        <v>0</v>
      </c>
      <c r="J280" s="114" t="s">
        <v>0</v>
      </c>
      <c r="K280" s="114" t="s">
        <v>0</v>
      </c>
      <c r="L280" s="114" t="s">
        <v>0</v>
      </c>
      <c r="M280" s="105">
        <f t="shared" ref="M280:O286" si="118">M281</f>
        <v>263839790.83999997</v>
      </c>
      <c r="N280" s="105">
        <f t="shared" si="118"/>
        <v>263839790.83999997</v>
      </c>
      <c r="O280" s="105">
        <f t="shared" si="118"/>
        <v>263839790.83999997</v>
      </c>
      <c r="P280" s="157">
        <f t="shared" si="113"/>
        <v>1</v>
      </c>
    </row>
    <row r="281" spans="1:16" s="101" customFormat="1" ht="114" customHeight="1" x14ac:dyDescent="0.2">
      <c r="A281" s="112" t="s">
        <v>256</v>
      </c>
      <c r="B281" s="113" t="s">
        <v>255</v>
      </c>
      <c r="C281" s="113" t="s">
        <v>28</v>
      </c>
      <c r="D281" s="113" t="s">
        <v>23</v>
      </c>
      <c r="E281" s="113" t="s">
        <v>0</v>
      </c>
      <c r="F281" s="113" t="s">
        <v>0</v>
      </c>
      <c r="G281" s="113" t="s">
        <v>0</v>
      </c>
      <c r="H281" s="114" t="s">
        <v>0</v>
      </c>
      <c r="I281" s="114" t="s">
        <v>0</v>
      </c>
      <c r="J281" s="114" t="s">
        <v>0</v>
      </c>
      <c r="K281" s="114" t="s">
        <v>0</v>
      </c>
      <c r="L281" s="114" t="s">
        <v>0</v>
      </c>
      <c r="M281" s="105">
        <f>M282</f>
        <v>263839790.83999997</v>
      </c>
      <c r="N281" s="105">
        <f t="shared" si="118"/>
        <v>263839790.83999997</v>
      </c>
      <c r="O281" s="105">
        <f t="shared" si="118"/>
        <v>263839790.83999997</v>
      </c>
      <c r="P281" s="157">
        <f t="shared" si="113"/>
        <v>1</v>
      </c>
    </row>
    <row r="282" spans="1:16" s="101" customFormat="1" ht="31.5" x14ac:dyDescent="0.2">
      <c r="A282" s="112" t="s">
        <v>288</v>
      </c>
      <c r="B282" s="113" t="s">
        <v>255</v>
      </c>
      <c r="C282" s="113" t="s">
        <v>28</v>
      </c>
      <c r="D282" s="113" t="s">
        <v>23</v>
      </c>
      <c r="E282" s="113" t="s">
        <v>66</v>
      </c>
      <c r="F282" s="113" t="s">
        <v>0</v>
      </c>
      <c r="G282" s="113" t="s">
        <v>0</v>
      </c>
      <c r="H282" s="114" t="s">
        <v>0</v>
      </c>
      <c r="I282" s="114" t="s">
        <v>0</v>
      </c>
      <c r="J282" s="114" t="s">
        <v>0</v>
      </c>
      <c r="K282" s="114" t="s">
        <v>0</v>
      </c>
      <c r="L282" s="114" t="s">
        <v>0</v>
      </c>
      <c r="M282" s="105">
        <f t="shared" si="118"/>
        <v>263839790.83999997</v>
      </c>
      <c r="N282" s="105">
        <f t="shared" si="118"/>
        <v>263839790.83999997</v>
      </c>
      <c r="O282" s="105">
        <f t="shared" si="118"/>
        <v>263839790.83999997</v>
      </c>
      <c r="P282" s="157">
        <f t="shared" si="113"/>
        <v>1</v>
      </c>
    </row>
    <row r="283" spans="1:16" s="101" customFormat="1" ht="15.75" x14ac:dyDescent="0.2">
      <c r="A283" s="115" t="s">
        <v>73</v>
      </c>
      <c r="B283" s="113" t="s">
        <v>255</v>
      </c>
      <c r="C283" s="113" t="s">
        <v>28</v>
      </c>
      <c r="D283" s="113" t="s">
        <v>23</v>
      </c>
      <c r="E283" s="113" t="s">
        <v>66</v>
      </c>
      <c r="F283" s="113" t="s">
        <v>74</v>
      </c>
      <c r="G283" s="113" t="s">
        <v>0</v>
      </c>
      <c r="H283" s="113" t="s">
        <v>0</v>
      </c>
      <c r="I283" s="113" t="s">
        <v>0</v>
      </c>
      <c r="J283" s="113" t="s">
        <v>0</v>
      </c>
      <c r="K283" s="113" t="s">
        <v>0</v>
      </c>
      <c r="L283" s="113" t="s">
        <v>0</v>
      </c>
      <c r="M283" s="105">
        <f t="shared" si="118"/>
        <v>263839790.83999997</v>
      </c>
      <c r="N283" s="105">
        <f t="shared" si="118"/>
        <v>263839790.83999997</v>
      </c>
      <c r="O283" s="105">
        <f t="shared" si="118"/>
        <v>263839790.83999997</v>
      </c>
      <c r="P283" s="157">
        <f t="shared" si="113"/>
        <v>1</v>
      </c>
    </row>
    <row r="284" spans="1:16" s="101" customFormat="1" ht="15.75" x14ac:dyDescent="0.2">
      <c r="A284" s="115" t="s">
        <v>78</v>
      </c>
      <c r="B284" s="113" t="s">
        <v>255</v>
      </c>
      <c r="C284" s="113" t="s">
        <v>28</v>
      </c>
      <c r="D284" s="113" t="s">
        <v>23</v>
      </c>
      <c r="E284" s="113" t="s">
        <v>66</v>
      </c>
      <c r="F284" s="113" t="s">
        <v>74</v>
      </c>
      <c r="G284" s="113" t="s">
        <v>34</v>
      </c>
      <c r="H284" s="113" t="s">
        <v>0</v>
      </c>
      <c r="I284" s="113" t="s">
        <v>0</v>
      </c>
      <c r="J284" s="113" t="s">
        <v>0</v>
      </c>
      <c r="K284" s="113" t="s">
        <v>0</v>
      </c>
      <c r="L284" s="113" t="s">
        <v>0</v>
      </c>
      <c r="M284" s="105">
        <f t="shared" si="118"/>
        <v>263839790.83999997</v>
      </c>
      <c r="N284" s="105">
        <f t="shared" si="118"/>
        <v>263839790.83999997</v>
      </c>
      <c r="O284" s="105">
        <f t="shared" si="118"/>
        <v>263839790.83999997</v>
      </c>
      <c r="P284" s="157">
        <f t="shared" si="113"/>
        <v>1</v>
      </c>
    </row>
    <row r="285" spans="1:16" s="101" customFormat="1" ht="47.25" x14ac:dyDescent="0.2">
      <c r="A285" s="112" t="s">
        <v>257</v>
      </c>
      <c r="B285" s="113" t="s">
        <v>255</v>
      </c>
      <c r="C285" s="113" t="s">
        <v>28</v>
      </c>
      <c r="D285" s="113" t="s">
        <v>23</v>
      </c>
      <c r="E285" s="113" t="s">
        <v>66</v>
      </c>
      <c r="F285" s="113" t="s">
        <v>74</v>
      </c>
      <c r="G285" s="113" t="s">
        <v>34</v>
      </c>
      <c r="H285" s="113" t="s">
        <v>258</v>
      </c>
      <c r="I285" s="114" t="s">
        <v>0</v>
      </c>
      <c r="J285" s="114" t="s">
        <v>0</v>
      </c>
      <c r="K285" s="114" t="s">
        <v>0</v>
      </c>
      <c r="L285" s="114" t="s">
        <v>0</v>
      </c>
      <c r="M285" s="105">
        <f t="shared" si="118"/>
        <v>263839790.83999997</v>
      </c>
      <c r="N285" s="105">
        <f t="shared" si="118"/>
        <v>263839790.83999997</v>
      </c>
      <c r="O285" s="105">
        <f t="shared" si="118"/>
        <v>263839790.83999997</v>
      </c>
      <c r="P285" s="157">
        <f t="shared" si="113"/>
        <v>1</v>
      </c>
    </row>
    <row r="286" spans="1:16" s="101" customFormat="1" ht="63" x14ac:dyDescent="0.2">
      <c r="A286" s="112" t="s">
        <v>290</v>
      </c>
      <c r="B286" s="113" t="s">
        <v>255</v>
      </c>
      <c r="C286" s="113" t="s">
        <v>28</v>
      </c>
      <c r="D286" s="113" t="s">
        <v>23</v>
      </c>
      <c r="E286" s="113" t="s">
        <v>66</v>
      </c>
      <c r="F286" s="113" t="s">
        <v>74</v>
      </c>
      <c r="G286" s="113" t="s">
        <v>34</v>
      </c>
      <c r="H286" s="113" t="s">
        <v>258</v>
      </c>
      <c r="I286" s="113" t="s">
        <v>144</v>
      </c>
      <c r="J286" s="113" t="s">
        <v>0</v>
      </c>
      <c r="K286" s="113" t="s">
        <v>0</v>
      </c>
      <c r="L286" s="113" t="s">
        <v>0</v>
      </c>
      <c r="M286" s="105">
        <f t="shared" si="118"/>
        <v>263839790.83999997</v>
      </c>
      <c r="N286" s="105">
        <f t="shared" si="118"/>
        <v>263839790.83999997</v>
      </c>
      <c r="O286" s="105">
        <f t="shared" si="118"/>
        <v>263839790.83999997</v>
      </c>
      <c r="P286" s="157">
        <f t="shared" si="113"/>
        <v>1</v>
      </c>
    </row>
    <row r="287" spans="1:16" s="101" customFormat="1" ht="15.75" x14ac:dyDescent="0.2">
      <c r="A287" s="112" t="s">
        <v>174</v>
      </c>
      <c r="B287" s="129" t="s">
        <v>0</v>
      </c>
      <c r="C287" s="129" t="s">
        <v>0</v>
      </c>
      <c r="D287" s="129" t="s">
        <v>0</v>
      </c>
      <c r="E287" s="129" t="s">
        <v>0</v>
      </c>
      <c r="F287" s="129" t="s">
        <v>0</v>
      </c>
      <c r="G287" s="129" t="s">
        <v>0</v>
      </c>
      <c r="H287" s="129" t="s">
        <v>0</v>
      </c>
      <c r="I287" s="129" t="s">
        <v>0</v>
      </c>
      <c r="J287" s="129" t="s">
        <v>0</v>
      </c>
      <c r="K287" s="129" t="s">
        <v>0</v>
      </c>
      <c r="L287" s="129" t="s">
        <v>0</v>
      </c>
      <c r="M287" s="105">
        <f>M288+M289</f>
        <v>263839790.83999997</v>
      </c>
      <c r="N287" s="105">
        <f t="shared" ref="N287:O287" si="119">N288+N289</f>
        <v>263839790.83999997</v>
      </c>
      <c r="O287" s="105">
        <f t="shared" si="119"/>
        <v>263839790.83999997</v>
      </c>
      <c r="P287" s="157">
        <f t="shared" si="113"/>
        <v>1</v>
      </c>
    </row>
    <row r="288" spans="1:16" s="101" customFormat="1" ht="31.5" x14ac:dyDescent="0.2">
      <c r="A288" s="96" t="s">
        <v>259</v>
      </c>
      <c r="B288" s="97" t="s">
        <v>255</v>
      </c>
      <c r="C288" s="97" t="s">
        <v>28</v>
      </c>
      <c r="D288" s="97" t="s">
        <v>23</v>
      </c>
      <c r="E288" s="97" t="s">
        <v>66</v>
      </c>
      <c r="F288" s="97" t="s">
        <v>74</v>
      </c>
      <c r="G288" s="97" t="s">
        <v>34</v>
      </c>
      <c r="H288" s="97" t="s">
        <v>258</v>
      </c>
      <c r="I288" s="97" t="s">
        <v>144</v>
      </c>
      <c r="J288" s="98" t="s">
        <v>278</v>
      </c>
      <c r="K288" s="98">
        <v>600</v>
      </c>
      <c r="L288" s="98">
        <v>2018</v>
      </c>
      <c r="M288" s="99">
        <f>327915217.39-39633877.3-55884894.62-2960141.73</f>
        <v>229436303.73999998</v>
      </c>
      <c r="N288" s="99">
        <f>327915217.39-39633877.3-55884894.62-2960141.73</f>
        <v>229436303.73999998</v>
      </c>
      <c r="O288" s="99">
        <f>327915217.39-39633877.3-55884894.62-2960141.73</f>
        <v>229436303.73999998</v>
      </c>
      <c r="P288" s="156">
        <f t="shared" si="113"/>
        <v>1</v>
      </c>
    </row>
    <row r="289" spans="1:16" s="101" customFormat="1" ht="47.25" x14ac:dyDescent="0.2">
      <c r="A289" s="96" t="s">
        <v>310</v>
      </c>
      <c r="B289" s="97" t="s">
        <v>255</v>
      </c>
      <c r="C289" s="97" t="s">
        <v>28</v>
      </c>
      <c r="D289" s="97" t="s">
        <v>23</v>
      </c>
      <c r="E289" s="97" t="s">
        <v>66</v>
      </c>
      <c r="F289" s="97" t="s">
        <v>74</v>
      </c>
      <c r="G289" s="97" t="s">
        <v>34</v>
      </c>
      <c r="H289" s="97" t="s">
        <v>258</v>
      </c>
      <c r="I289" s="97" t="s">
        <v>144</v>
      </c>
      <c r="J289" s="98" t="s">
        <v>278</v>
      </c>
      <c r="K289" s="98">
        <v>1225</v>
      </c>
      <c r="L289" s="98">
        <v>2020</v>
      </c>
      <c r="M289" s="99">
        <f>5528450.75+25914894.62+2960141.73</f>
        <v>34403487.100000001</v>
      </c>
      <c r="N289" s="99">
        <f>5528450.75+25914894.62+2960141.73</f>
        <v>34403487.100000001</v>
      </c>
      <c r="O289" s="99">
        <f>5528450.75+25914894.62+2960141.73</f>
        <v>34403487.100000001</v>
      </c>
      <c r="P289" s="156">
        <f t="shared" si="113"/>
        <v>1</v>
      </c>
    </row>
    <row r="290" spans="1:16" s="106" customFormat="1" ht="47.25" x14ac:dyDescent="0.2">
      <c r="A290" s="102" t="s">
        <v>116</v>
      </c>
      <c r="B290" s="103" t="s">
        <v>117</v>
      </c>
      <c r="C290" s="103" t="s">
        <v>0</v>
      </c>
      <c r="D290" s="103" t="s">
        <v>0</v>
      </c>
      <c r="E290" s="103" t="s">
        <v>0</v>
      </c>
      <c r="F290" s="103" t="s">
        <v>0</v>
      </c>
      <c r="G290" s="103" t="s">
        <v>0</v>
      </c>
      <c r="H290" s="104" t="s">
        <v>0</v>
      </c>
      <c r="I290" s="104" t="s">
        <v>0</v>
      </c>
      <c r="J290" s="104" t="s">
        <v>0</v>
      </c>
      <c r="K290" s="104" t="s">
        <v>0</v>
      </c>
      <c r="L290" s="104" t="s">
        <v>0</v>
      </c>
      <c r="M290" s="105">
        <f>M291</f>
        <v>157451207.41999999</v>
      </c>
      <c r="N290" s="105">
        <f t="shared" ref="N290:O292" si="120">N291</f>
        <v>147039470.21000001</v>
      </c>
      <c r="O290" s="105">
        <f t="shared" si="120"/>
        <v>147039470.21000001</v>
      </c>
      <c r="P290" s="157">
        <f t="shared" si="113"/>
        <v>0.93387324631797364</v>
      </c>
    </row>
    <row r="291" spans="1:16" s="106" customFormat="1" ht="31.5" x14ac:dyDescent="0.2">
      <c r="A291" s="102" t="s">
        <v>118</v>
      </c>
      <c r="B291" s="103" t="s">
        <v>117</v>
      </c>
      <c r="C291" s="103" t="s">
        <v>28</v>
      </c>
      <c r="D291" s="103" t="s">
        <v>72</v>
      </c>
      <c r="E291" s="103" t="s">
        <v>0</v>
      </c>
      <c r="F291" s="103" t="s">
        <v>0</v>
      </c>
      <c r="G291" s="103" t="s">
        <v>0</v>
      </c>
      <c r="H291" s="104" t="s">
        <v>0</v>
      </c>
      <c r="I291" s="104" t="s">
        <v>0</v>
      </c>
      <c r="J291" s="104" t="s">
        <v>0</v>
      </c>
      <c r="K291" s="104" t="s">
        <v>0</v>
      </c>
      <c r="L291" s="104" t="s">
        <v>0</v>
      </c>
      <c r="M291" s="105">
        <f>M292</f>
        <v>157451207.41999999</v>
      </c>
      <c r="N291" s="105">
        <f t="shared" si="120"/>
        <v>147039470.21000001</v>
      </c>
      <c r="O291" s="105">
        <f t="shared" si="120"/>
        <v>147039470.21000001</v>
      </c>
      <c r="P291" s="157">
        <f t="shared" si="113"/>
        <v>0.93387324631797364</v>
      </c>
    </row>
    <row r="292" spans="1:16" s="106" customFormat="1" ht="31.5" x14ac:dyDescent="0.2">
      <c r="A292" s="102" t="s">
        <v>297</v>
      </c>
      <c r="B292" s="103" t="s">
        <v>117</v>
      </c>
      <c r="C292" s="103" t="s">
        <v>28</v>
      </c>
      <c r="D292" s="103" t="s">
        <v>72</v>
      </c>
      <c r="E292" s="103" t="s">
        <v>66</v>
      </c>
      <c r="F292" s="103" t="s">
        <v>0</v>
      </c>
      <c r="G292" s="103" t="s">
        <v>0</v>
      </c>
      <c r="H292" s="104" t="s">
        <v>0</v>
      </c>
      <c r="I292" s="104" t="s">
        <v>0</v>
      </c>
      <c r="J292" s="104" t="s">
        <v>0</v>
      </c>
      <c r="K292" s="104" t="s">
        <v>0</v>
      </c>
      <c r="L292" s="104" t="s">
        <v>0</v>
      </c>
      <c r="M292" s="105">
        <f>M293</f>
        <v>157451207.41999999</v>
      </c>
      <c r="N292" s="105">
        <f t="shared" si="120"/>
        <v>147039470.21000001</v>
      </c>
      <c r="O292" s="105">
        <f t="shared" si="120"/>
        <v>147039470.21000001</v>
      </c>
      <c r="P292" s="157">
        <f t="shared" si="113"/>
        <v>0.93387324631797364</v>
      </c>
    </row>
    <row r="293" spans="1:16" s="106" customFormat="1" ht="15.75" x14ac:dyDescent="0.2">
      <c r="A293" s="107" t="s">
        <v>119</v>
      </c>
      <c r="B293" s="103" t="s">
        <v>117</v>
      </c>
      <c r="C293" s="103" t="s">
        <v>28</v>
      </c>
      <c r="D293" s="103" t="s">
        <v>72</v>
      </c>
      <c r="E293" s="103" t="s">
        <v>66</v>
      </c>
      <c r="F293" s="103" t="s">
        <v>23</v>
      </c>
      <c r="G293" s="103" t="s">
        <v>0</v>
      </c>
      <c r="H293" s="103" t="s">
        <v>0</v>
      </c>
      <c r="I293" s="103" t="s">
        <v>0</v>
      </c>
      <c r="J293" s="103" t="s">
        <v>0</v>
      </c>
      <c r="K293" s="103" t="s">
        <v>0</v>
      </c>
      <c r="L293" s="103" t="s">
        <v>0</v>
      </c>
      <c r="M293" s="105">
        <f>M294+M305</f>
        <v>157451207.41999999</v>
      </c>
      <c r="N293" s="105">
        <f t="shared" ref="N293:O293" si="121">N294+N305</f>
        <v>147039470.21000001</v>
      </c>
      <c r="O293" s="105">
        <f t="shared" si="121"/>
        <v>147039470.21000001</v>
      </c>
      <c r="P293" s="157">
        <f t="shared" si="113"/>
        <v>0.93387324631797364</v>
      </c>
    </row>
    <row r="294" spans="1:16" s="106" customFormat="1" ht="15.75" x14ac:dyDescent="0.2">
      <c r="A294" s="107" t="s">
        <v>120</v>
      </c>
      <c r="B294" s="103" t="s">
        <v>117</v>
      </c>
      <c r="C294" s="103" t="s">
        <v>28</v>
      </c>
      <c r="D294" s="103" t="s">
        <v>72</v>
      </c>
      <c r="E294" s="103" t="s">
        <v>66</v>
      </c>
      <c r="F294" s="103" t="s">
        <v>23</v>
      </c>
      <c r="G294" s="103" t="s">
        <v>61</v>
      </c>
      <c r="H294" s="103" t="s">
        <v>0</v>
      </c>
      <c r="I294" s="103" t="s">
        <v>0</v>
      </c>
      <c r="J294" s="103" t="s">
        <v>0</v>
      </c>
      <c r="K294" s="103" t="s">
        <v>0</v>
      </c>
      <c r="L294" s="103" t="s">
        <v>0</v>
      </c>
      <c r="M294" s="105">
        <f>M295</f>
        <v>89903642.419999987</v>
      </c>
      <c r="N294" s="105">
        <f t="shared" ref="N294:O295" si="122">N295</f>
        <v>79491905.210000008</v>
      </c>
      <c r="O294" s="105">
        <f t="shared" si="122"/>
        <v>79491905.210000008</v>
      </c>
      <c r="P294" s="157">
        <f t="shared" si="113"/>
        <v>0.88419004025042947</v>
      </c>
    </row>
    <row r="295" spans="1:16" s="106" customFormat="1" ht="47.25" x14ac:dyDescent="0.2">
      <c r="A295" s="102" t="s">
        <v>152</v>
      </c>
      <c r="B295" s="103" t="s">
        <v>117</v>
      </c>
      <c r="C295" s="103" t="s">
        <v>28</v>
      </c>
      <c r="D295" s="103" t="s">
        <v>72</v>
      </c>
      <c r="E295" s="103" t="s">
        <v>66</v>
      </c>
      <c r="F295" s="103" t="s">
        <v>23</v>
      </c>
      <c r="G295" s="103" t="s">
        <v>61</v>
      </c>
      <c r="H295" s="103" t="s">
        <v>153</v>
      </c>
      <c r="I295" s="104" t="s">
        <v>0</v>
      </c>
      <c r="J295" s="104" t="s">
        <v>0</v>
      </c>
      <c r="K295" s="104" t="s">
        <v>0</v>
      </c>
      <c r="L295" s="104" t="s">
        <v>0</v>
      </c>
      <c r="M295" s="105">
        <f>M296</f>
        <v>89903642.419999987</v>
      </c>
      <c r="N295" s="105">
        <f t="shared" si="122"/>
        <v>79491905.210000008</v>
      </c>
      <c r="O295" s="105">
        <f t="shared" si="122"/>
        <v>79491905.210000008</v>
      </c>
      <c r="P295" s="157">
        <f t="shared" si="113"/>
        <v>0.88419004025042947</v>
      </c>
    </row>
    <row r="296" spans="1:16" s="106" customFormat="1" ht="63" x14ac:dyDescent="0.2">
      <c r="A296" s="102" t="s">
        <v>290</v>
      </c>
      <c r="B296" s="103" t="s">
        <v>117</v>
      </c>
      <c r="C296" s="103" t="s">
        <v>28</v>
      </c>
      <c r="D296" s="103" t="s">
        <v>72</v>
      </c>
      <c r="E296" s="103" t="s">
        <v>66</v>
      </c>
      <c r="F296" s="103" t="s">
        <v>23</v>
      </c>
      <c r="G296" s="103" t="s">
        <v>61</v>
      </c>
      <c r="H296" s="103" t="s">
        <v>153</v>
      </c>
      <c r="I296" s="103" t="s">
        <v>144</v>
      </c>
      <c r="J296" s="103" t="s">
        <v>0</v>
      </c>
      <c r="K296" s="103" t="s">
        <v>0</v>
      </c>
      <c r="L296" s="103" t="s">
        <v>0</v>
      </c>
      <c r="M296" s="105">
        <f>M297+M299+M301+M303</f>
        <v>89903642.419999987</v>
      </c>
      <c r="N296" s="105">
        <f t="shared" ref="N296:O296" si="123">N297+N299+N301+N303</f>
        <v>79491905.210000008</v>
      </c>
      <c r="O296" s="105">
        <f t="shared" si="123"/>
        <v>79491905.210000008</v>
      </c>
      <c r="P296" s="157">
        <f t="shared" si="113"/>
        <v>0.88419004025042947</v>
      </c>
    </row>
    <row r="297" spans="1:16" s="106" customFormat="1" ht="15.75" x14ac:dyDescent="0.2">
      <c r="A297" s="102" t="s">
        <v>311</v>
      </c>
      <c r="B297" s="147" t="s">
        <v>0</v>
      </c>
      <c r="C297" s="147" t="s">
        <v>0</v>
      </c>
      <c r="D297" s="147" t="s">
        <v>0</v>
      </c>
      <c r="E297" s="147" t="s">
        <v>0</v>
      </c>
      <c r="F297" s="147" t="s">
        <v>0</v>
      </c>
      <c r="G297" s="147" t="s">
        <v>0</v>
      </c>
      <c r="H297" s="147" t="s">
        <v>0</v>
      </c>
      <c r="I297" s="147" t="s">
        <v>0</v>
      </c>
      <c r="J297" s="147" t="s">
        <v>0</v>
      </c>
      <c r="K297" s="147" t="s">
        <v>0</v>
      </c>
      <c r="L297" s="147" t="s">
        <v>0</v>
      </c>
      <c r="M297" s="105">
        <f>M298</f>
        <v>7477774.6499999985</v>
      </c>
      <c r="N297" s="105">
        <f t="shared" ref="N297:O297" si="124">N298</f>
        <v>4639992.0199999996</v>
      </c>
      <c r="O297" s="105">
        <f t="shared" si="124"/>
        <v>4639992.0199999996</v>
      </c>
      <c r="P297" s="157">
        <f t="shared" si="113"/>
        <v>0.62050439297472015</v>
      </c>
    </row>
    <row r="298" spans="1:16" s="106" customFormat="1" ht="78.75" x14ac:dyDescent="0.2">
      <c r="A298" s="108" t="s">
        <v>393</v>
      </c>
      <c r="B298" s="109" t="s">
        <v>117</v>
      </c>
      <c r="C298" s="109" t="s">
        <v>28</v>
      </c>
      <c r="D298" s="109" t="s">
        <v>72</v>
      </c>
      <c r="E298" s="109" t="s">
        <v>66</v>
      </c>
      <c r="F298" s="109" t="s">
        <v>23</v>
      </c>
      <c r="G298" s="109" t="s">
        <v>61</v>
      </c>
      <c r="H298" s="109" t="s">
        <v>153</v>
      </c>
      <c r="I298" s="109" t="s">
        <v>144</v>
      </c>
      <c r="J298" s="110" t="s">
        <v>76</v>
      </c>
      <c r="K298" s="98">
        <v>1956</v>
      </c>
      <c r="L298" s="110" t="s">
        <v>300</v>
      </c>
      <c r="M298" s="99">
        <f>46500000-39022225.35</f>
        <v>7477774.6499999985</v>
      </c>
      <c r="N298" s="99">
        <v>4639992.0199999996</v>
      </c>
      <c r="O298" s="99">
        <v>4639992.0199999996</v>
      </c>
      <c r="P298" s="156">
        <f t="shared" si="113"/>
        <v>0.62050439297472015</v>
      </c>
    </row>
    <row r="299" spans="1:16" s="106" customFormat="1" ht="19.5" customHeight="1" x14ac:dyDescent="0.2">
      <c r="A299" s="102" t="s">
        <v>270</v>
      </c>
      <c r="B299" s="147" t="s">
        <v>0</v>
      </c>
      <c r="C299" s="147" t="s">
        <v>0</v>
      </c>
      <c r="D299" s="147" t="s">
        <v>0</v>
      </c>
      <c r="E299" s="147" t="s">
        <v>0</v>
      </c>
      <c r="F299" s="147" t="s">
        <v>0</v>
      </c>
      <c r="G299" s="147" t="s">
        <v>0</v>
      </c>
      <c r="H299" s="147" t="s">
        <v>0</v>
      </c>
      <c r="I299" s="147" t="s">
        <v>0</v>
      </c>
      <c r="J299" s="147" t="s">
        <v>0</v>
      </c>
      <c r="K299" s="147" t="s">
        <v>0</v>
      </c>
      <c r="L299" s="147" t="s">
        <v>0</v>
      </c>
      <c r="M299" s="105">
        <f>M300</f>
        <v>3119800</v>
      </c>
      <c r="N299" s="105">
        <f t="shared" ref="N299:O299" si="125">N300</f>
        <v>2581877.83</v>
      </c>
      <c r="O299" s="105">
        <f t="shared" si="125"/>
        <v>2581877.83</v>
      </c>
      <c r="P299" s="157">
        <f t="shared" si="113"/>
        <v>0.82757799538431953</v>
      </c>
    </row>
    <row r="300" spans="1:16" s="106" customFormat="1" ht="31.5" x14ac:dyDescent="0.2">
      <c r="A300" s="108" t="s">
        <v>273</v>
      </c>
      <c r="B300" s="109" t="s">
        <v>117</v>
      </c>
      <c r="C300" s="109" t="s">
        <v>28</v>
      </c>
      <c r="D300" s="109" t="s">
        <v>72</v>
      </c>
      <c r="E300" s="109" t="s">
        <v>66</v>
      </c>
      <c r="F300" s="109" t="s">
        <v>23</v>
      </c>
      <c r="G300" s="109" t="s">
        <v>61</v>
      </c>
      <c r="H300" s="109" t="s">
        <v>153</v>
      </c>
      <c r="I300" s="109" t="s">
        <v>144</v>
      </c>
      <c r="J300" s="110" t="s">
        <v>122</v>
      </c>
      <c r="K300" s="110" t="s">
        <v>123</v>
      </c>
      <c r="L300" s="110" t="s">
        <v>300</v>
      </c>
      <c r="M300" s="99">
        <f>50000000-5000000-34550000-7330200</f>
        <v>3119800</v>
      </c>
      <c r="N300" s="99">
        <v>2581877.83</v>
      </c>
      <c r="O300" s="99">
        <v>2581877.83</v>
      </c>
      <c r="P300" s="156">
        <f t="shared" si="113"/>
        <v>0.82757799538431953</v>
      </c>
    </row>
    <row r="301" spans="1:16" s="106" customFormat="1" ht="31.5" x14ac:dyDescent="0.2">
      <c r="A301" s="102" t="s">
        <v>176</v>
      </c>
      <c r="B301" s="147" t="s">
        <v>0</v>
      </c>
      <c r="C301" s="147" t="s">
        <v>0</v>
      </c>
      <c r="D301" s="147" t="s">
        <v>0</v>
      </c>
      <c r="E301" s="147" t="s">
        <v>0</v>
      </c>
      <c r="F301" s="147" t="s">
        <v>0</v>
      </c>
      <c r="G301" s="147" t="s">
        <v>0</v>
      </c>
      <c r="H301" s="147" t="s">
        <v>0</v>
      </c>
      <c r="I301" s="147" t="s">
        <v>0</v>
      </c>
      <c r="J301" s="147" t="s">
        <v>0</v>
      </c>
      <c r="K301" s="147" t="s">
        <v>0</v>
      </c>
      <c r="L301" s="147" t="s">
        <v>0</v>
      </c>
      <c r="M301" s="105">
        <f>M302</f>
        <v>73475695.679999992</v>
      </c>
      <c r="N301" s="105">
        <f t="shared" ref="N301:O301" si="126">N302</f>
        <v>66568948.770000003</v>
      </c>
      <c r="O301" s="105">
        <f t="shared" si="126"/>
        <v>66568948.770000003</v>
      </c>
      <c r="P301" s="157">
        <f t="shared" si="113"/>
        <v>0.9059995710679607</v>
      </c>
    </row>
    <row r="302" spans="1:16" s="106" customFormat="1" ht="31.5" x14ac:dyDescent="0.2">
      <c r="A302" s="108" t="s">
        <v>309</v>
      </c>
      <c r="B302" s="109" t="s">
        <v>117</v>
      </c>
      <c r="C302" s="109" t="s">
        <v>28</v>
      </c>
      <c r="D302" s="109" t="s">
        <v>72</v>
      </c>
      <c r="E302" s="109" t="s">
        <v>66</v>
      </c>
      <c r="F302" s="109" t="s">
        <v>23</v>
      </c>
      <c r="G302" s="109" t="s">
        <v>61</v>
      </c>
      <c r="H302" s="109" t="s">
        <v>153</v>
      </c>
      <c r="I302" s="109" t="s">
        <v>144</v>
      </c>
      <c r="J302" s="110" t="s">
        <v>76</v>
      </c>
      <c r="K302" s="98">
        <v>162</v>
      </c>
      <c r="L302" s="110" t="s">
        <v>301</v>
      </c>
      <c r="M302" s="99">
        <f>55191260.51+9880000+3404435.17+5000000</f>
        <v>73475695.679999992</v>
      </c>
      <c r="N302" s="99">
        <v>66568948.770000003</v>
      </c>
      <c r="O302" s="99">
        <v>66568948.770000003</v>
      </c>
      <c r="P302" s="156">
        <f t="shared" si="113"/>
        <v>0.9059995710679607</v>
      </c>
    </row>
    <row r="303" spans="1:16" s="106" customFormat="1" ht="31.5" x14ac:dyDescent="0.2">
      <c r="A303" s="102" t="s">
        <v>312</v>
      </c>
      <c r="B303" s="147" t="s">
        <v>0</v>
      </c>
      <c r="C303" s="147" t="s">
        <v>0</v>
      </c>
      <c r="D303" s="147" t="s">
        <v>0</v>
      </c>
      <c r="E303" s="147" t="s">
        <v>0</v>
      </c>
      <c r="F303" s="147" t="s">
        <v>0</v>
      </c>
      <c r="G303" s="147" t="s">
        <v>0</v>
      </c>
      <c r="H303" s="147" t="s">
        <v>0</v>
      </c>
      <c r="I303" s="147" t="s">
        <v>0</v>
      </c>
      <c r="J303" s="147" t="s">
        <v>0</v>
      </c>
      <c r="K303" s="147" t="s">
        <v>0</v>
      </c>
      <c r="L303" s="147" t="s">
        <v>0</v>
      </c>
      <c r="M303" s="105">
        <f>M304</f>
        <v>5830372.0899999999</v>
      </c>
      <c r="N303" s="105">
        <f t="shared" ref="N303:O303" si="127">N304</f>
        <v>5701086.5899999999</v>
      </c>
      <c r="O303" s="105">
        <f t="shared" si="127"/>
        <v>5701086.5899999999</v>
      </c>
      <c r="P303" s="157">
        <f t="shared" si="113"/>
        <v>0.97782551473485801</v>
      </c>
    </row>
    <row r="304" spans="1:16" s="106" customFormat="1" ht="47.25" x14ac:dyDescent="0.2">
      <c r="A304" s="108" t="s">
        <v>260</v>
      </c>
      <c r="B304" s="109" t="s">
        <v>117</v>
      </c>
      <c r="C304" s="109" t="s">
        <v>28</v>
      </c>
      <c r="D304" s="109" t="s">
        <v>72</v>
      </c>
      <c r="E304" s="109" t="s">
        <v>66</v>
      </c>
      <c r="F304" s="109" t="s">
        <v>23</v>
      </c>
      <c r="G304" s="109" t="s">
        <v>61</v>
      </c>
      <c r="H304" s="109" t="s">
        <v>153</v>
      </c>
      <c r="I304" s="109" t="s">
        <v>144</v>
      </c>
      <c r="J304" s="110" t="s">
        <v>392</v>
      </c>
      <c r="K304" s="98">
        <v>32</v>
      </c>
      <c r="L304" s="110" t="s">
        <v>301</v>
      </c>
      <c r="M304" s="99">
        <f>6852584.79-1022212.7</f>
        <v>5830372.0899999999</v>
      </c>
      <c r="N304" s="99">
        <v>5701086.5899999999</v>
      </c>
      <c r="O304" s="99">
        <v>5701086.5899999999</v>
      </c>
      <c r="P304" s="156">
        <f t="shared" si="113"/>
        <v>0.97782551473485801</v>
      </c>
    </row>
    <row r="305" spans="1:16" s="106" customFormat="1" ht="15.75" x14ac:dyDescent="0.2">
      <c r="A305" s="107" t="s">
        <v>124</v>
      </c>
      <c r="B305" s="103" t="s">
        <v>117</v>
      </c>
      <c r="C305" s="103" t="s">
        <v>28</v>
      </c>
      <c r="D305" s="103" t="s">
        <v>72</v>
      </c>
      <c r="E305" s="103" t="s">
        <v>66</v>
      </c>
      <c r="F305" s="103" t="s">
        <v>23</v>
      </c>
      <c r="G305" s="103" t="s">
        <v>34</v>
      </c>
      <c r="H305" s="103" t="s">
        <v>0</v>
      </c>
      <c r="I305" s="103" t="s">
        <v>0</v>
      </c>
      <c r="J305" s="103" t="s">
        <v>0</v>
      </c>
      <c r="K305" s="103" t="s">
        <v>0</v>
      </c>
      <c r="L305" s="103" t="s">
        <v>0</v>
      </c>
      <c r="M305" s="105">
        <f>M306</f>
        <v>67547565</v>
      </c>
      <c r="N305" s="105">
        <f t="shared" ref="N305:O308" si="128">N306</f>
        <v>67547565</v>
      </c>
      <c r="O305" s="105">
        <f t="shared" si="128"/>
        <v>67547565</v>
      </c>
      <c r="P305" s="157">
        <f t="shared" si="113"/>
        <v>1</v>
      </c>
    </row>
    <row r="306" spans="1:16" s="106" customFormat="1" ht="82.5" customHeight="1" x14ac:dyDescent="0.2">
      <c r="A306" s="102" t="s">
        <v>308</v>
      </c>
      <c r="B306" s="103" t="s">
        <v>117</v>
      </c>
      <c r="C306" s="103" t="s">
        <v>28</v>
      </c>
      <c r="D306" s="103" t="s">
        <v>72</v>
      </c>
      <c r="E306" s="103" t="s">
        <v>66</v>
      </c>
      <c r="F306" s="103" t="s">
        <v>23</v>
      </c>
      <c r="G306" s="103" t="s">
        <v>34</v>
      </c>
      <c r="H306" s="103" t="s">
        <v>125</v>
      </c>
      <c r="I306" s="104" t="s">
        <v>0</v>
      </c>
      <c r="J306" s="104" t="s">
        <v>0</v>
      </c>
      <c r="K306" s="104" t="s">
        <v>0</v>
      </c>
      <c r="L306" s="104" t="s">
        <v>0</v>
      </c>
      <c r="M306" s="105">
        <f>M307</f>
        <v>67547565</v>
      </c>
      <c r="N306" s="105">
        <f t="shared" si="128"/>
        <v>67547565</v>
      </c>
      <c r="O306" s="105">
        <f t="shared" si="128"/>
        <v>67547565</v>
      </c>
      <c r="P306" s="157">
        <f t="shared" si="113"/>
        <v>1</v>
      </c>
    </row>
    <row r="307" spans="1:16" s="106" customFormat="1" ht="63" x14ac:dyDescent="0.2">
      <c r="A307" s="102" t="s">
        <v>290</v>
      </c>
      <c r="B307" s="103" t="s">
        <v>117</v>
      </c>
      <c r="C307" s="103" t="s">
        <v>28</v>
      </c>
      <c r="D307" s="103" t="s">
        <v>72</v>
      </c>
      <c r="E307" s="103" t="s">
        <v>66</v>
      </c>
      <c r="F307" s="103" t="s">
        <v>23</v>
      </c>
      <c r="G307" s="103" t="s">
        <v>34</v>
      </c>
      <c r="H307" s="103" t="s">
        <v>125</v>
      </c>
      <c r="I307" s="103" t="s">
        <v>144</v>
      </c>
      <c r="J307" s="103" t="s">
        <v>0</v>
      </c>
      <c r="K307" s="103" t="s">
        <v>0</v>
      </c>
      <c r="L307" s="103" t="s">
        <v>0</v>
      </c>
      <c r="M307" s="105">
        <f>M308</f>
        <v>67547565</v>
      </c>
      <c r="N307" s="105">
        <f t="shared" si="128"/>
        <v>67547565</v>
      </c>
      <c r="O307" s="105">
        <f t="shared" si="128"/>
        <v>67547565</v>
      </c>
      <c r="P307" s="157">
        <f t="shared" si="113"/>
        <v>1</v>
      </c>
    </row>
    <row r="308" spans="1:16" s="106" customFormat="1" ht="15.75" x14ac:dyDescent="0.2">
      <c r="A308" s="102" t="s">
        <v>194</v>
      </c>
      <c r="B308" s="147" t="s">
        <v>0</v>
      </c>
      <c r="C308" s="147" t="s">
        <v>0</v>
      </c>
      <c r="D308" s="147" t="s">
        <v>0</v>
      </c>
      <c r="E308" s="147" t="s">
        <v>0</v>
      </c>
      <c r="F308" s="147" t="s">
        <v>0</v>
      </c>
      <c r="G308" s="147" t="s">
        <v>0</v>
      </c>
      <c r="H308" s="147" t="s">
        <v>0</v>
      </c>
      <c r="I308" s="147" t="s">
        <v>0</v>
      </c>
      <c r="J308" s="147" t="s">
        <v>0</v>
      </c>
      <c r="K308" s="147" t="s">
        <v>0</v>
      </c>
      <c r="L308" s="147" t="s">
        <v>0</v>
      </c>
      <c r="M308" s="105">
        <f>M309</f>
        <v>67547565</v>
      </c>
      <c r="N308" s="105">
        <f t="shared" si="128"/>
        <v>67547565</v>
      </c>
      <c r="O308" s="105">
        <f t="shared" si="128"/>
        <v>67547565</v>
      </c>
      <c r="P308" s="157">
        <f t="shared" si="113"/>
        <v>1</v>
      </c>
    </row>
    <row r="309" spans="1:16" s="106" customFormat="1" ht="31.5" x14ac:dyDescent="0.2">
      <c r="A309" s="108" t="s">
        <v>261</v>
      </c>
      <c r="B309" s="109" t="s">
        <v>117</v>
      </c>
      <c r="C309" s="109" t="s">
        <v>28</v>
      </c>
      <c r="D309" s="109" t="s">
        <v>72</v>
      </c>
      <c r="E309" s="109" t="s">
        <v>66</v>
      </c>
      <c r="F309" s="109" t="s">
        <v>23</v>
      </c>
      <c r="G309" s="109" t="s">
        <v>34</v>
      </c>
      <c r="H309" s="109" t="s">
        <v>125</v>
      </c>
      <c r="I309" s="109" t="s">
        <v>144</v>
      </c>
      <c r="J309" s="110" t="s">
        <v>339</v>
      </c>
      <c r="K309" s="98">
        <v>235</v>
      </c>
      <c r="L309" s="110" t="s">
        <v>301</v>
      </c>
      <c r="M309" s="99">
        <v>67547565</v>
      </c>
      <c r="N309" s="99">
        <v>67547565</v>
      </c>
      <c r="O309" s="99">
        <v>67547565</v>
      </c>
      <c r="P309" s="156">
        <f t="shared" si="113"/>
        <v>1</v>
      </c>
    </row>
    <row r="310" spans="1:16" s="106" customFormat="1" ht="105" customHeight="1" x14ac:dyDescent="0.2">
      <c r="A310" s="167" t="s">
        <v>536</v>
      </c>
      <c r="B310" s="161"/>
      <c r="C310" s="161"/>
      <c r="D310" s="161"/>
      <c r="E310" s="161"/>
      <c r="F310" s="161"/>
      <c r="G310" s="161"/>
      <c r="H310" s="161"/>
      <c r="I310" s="161"/>
      <c r="J310" s="162"/>
      <c r="K310" s="163"/>
      <c r="L310" s="162"/>
      <c r="M310" s="164"/>
      <c r="N310" s="164"/>
      <c r="O310" s="164"/>
      <c r="P310" s="168" t="s">
        <v>537</v>
      </c>
    </row>
    <row r="311" spans="1:16" ht="123.75" customHeight="1" x14ac:dyDescent="0.25">
      <c r="A311" s="153" t="s">
        <v>535</v>
      </c>
    </row>
  </sheetData>
  <autoFilter ref="A7:O7"/>
  <mergeCells count="3">
    <mergeCell ref="A5:M5"/>
    <mergeCell ref="G2:M2"/>
    <mergeCell ref="A4:P4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8" fitToHeight="4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150"/>
  <sheetViews>
    <sheetView view="pageBreakPreview" topLeftCell="A93" zoomScale="90" zoomScaleNormal="100" zoomScaleSheetLayoutView="90" zoomScalePageLayoutView="70" workbookViewId="0">
      <selection activeCell="D101" sqref="D101"/>
    </sheetView>
  </sheetViews>
  <sheetFormatPr defaultRowHeight="12.75" x14ac:dyDescent="0.2"/>
  <cols>
    <col min="1" max="1" width="45.1640625" style="41" customWidth="1"/>
    <col min="2" max="2" width="4.83203125" style="41" customWidth="1"/>
    <col min="3" max="3" width="7.33203125" style="41" customWidth="1"/>
    <col min="4" max="4" width="5.83203125" style="41" customWidth="1"/>
    <col min="5" max="5" width="6.83203125" style="41" customWidth="1"/>
    <col min="6" max="7" width="4.83203125" style="41" customWidth="1"/>
    <col min="8" max="8" width="8.33203125" style="41" customWidth="1"/>
    <col min="9" max="9" width="5.83203125" style="41" customWidth="1"/>
    <col min="10" max="10" width="10.83203125" style="41" customWidth="1"/>
    <col min="11" max="11" width="11.6640625" style="41" customWidth="1"/>
    <col min="12" max="12" width="9.83203125" style="41" customWidth="1"/>
    <col min="13" max="13" width="21" style="41" customWidth="1"/>
    <col min="14" max="15" width="21" style="90" customWidth="1"/>
    <col min="16" max="16" width="21" style="41" customWidth="1"/>
    <col min="17" max="16384" width="9.33203125" style="41"/>
  </cols>
  <sheetData>
    <row r="1" spans="1:16" ht="18.75" customHeight="1" x14ac:dyDescent="0.2">
      <c r="A1" s="40" t="s">
        <v>0</v>
      </c>
      <c r="B1" s="40" t="s">
        <v>0</v>
      </c>
      <c r="C1" s="40" t="s">
        <v>0</v>
      </c>
      <c r="D1" s="40" t="s">
        <v>0</v>
      </c>
      <c r="E1" s="40" t="s">
        <v>0</v>
      </c>
      <c r="F1" s="40" t="s">
        <v>0</v>
      </c>
      <c r="H1" s="42"/>
      <c r="I1" s="42"/>
      <c r="J1" s="42"/>
      <c r="K1" s="42"/>
      <c r="L1" s="42"/>
      <c r="M1" s="42"/>
      <c r="N1" s="40"/>
      <c r="O1" s="40"/>
      <c r="P1" s="89" t="s">
        <v>532</v>
      </c>
    </row>
    <row r="2" spans="1:16" ht="20.100000000000001" hidden="1" customHeight="1" x14ac:dyDescent="0.25">
      <c r="A2" s="40"/>
      <c r="B2" s="40"/>
      <c r="C2" s="40"/>
      <c r="D2" s="40"/>
      <c r="E2" s="40"/>
      <c r="F2" s="40"/>
      <c r="H2" s="43"/>
      <c r="I2" s="43"/>
      <c r="J2" s="43"/>
      <c r="K2" s="43"/>
      <c r="L2" s="43"/>
      <c r="M2" s="43"/>
      <c r="N2" s="92"/>
      <c r="O2" s="92"/>
    </row>
    <row r="3" spans="1:16" ht="16.5" hidden="1" customHeight="1" x14ac:dyDescent="0.2">
      <c r="A3" s="40"/>
      <c r="B3" s="40"/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0"/>
      <c r="O3" s="40"/>
    </row>
    <row r="4" spans="1:16" ht="30" customHeight="1" x14ac:dyDescent="0.2">
      <c r="A4" s="179" t="s">
        <v>534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</row>
    <row r="5" spans="1:16" ht="19.5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89" t="s">
        <v>1</v>
      </c>
    </row>
    <row r="6" spans="1:16" ht="39" customHeight="1" x14ac:dyDescent="0.2">
      <c r="A6" s="45" t="s">
        <v>378</v>
      </c>
      <c r="B6" s="45" t="s">
        <v>2</v>
      </c>
      <c r="C6" s="45" t="s">
        <v>3</v>
      </c>
      <c r="D6" s="45" t="s">
        <v>4</v>
      </c>
      <c r="E6" s="45" t="s">
        <v>5</v>
      </c>
      <c r="F6" s="45" t="s">
        <v>6</v>
      </c>
      <c r="G6" s="45" t="s">
        <v>7</v>
      </c>
      <c r="H6" s="45" t="s">
        <v>8</v>
      </c>
      <c r="I6" s="45" t="s">
        <v>9</v>
      </c>
      <c r="J6" s="46" t="s">
        <v>10</v>
      </c>
      <c r="K6" s="46" t="s">
        <v>11</v>
      </c>
      <c r="L6" s="46" t="s">
        <v>12</v>
      </c>
      <c r="M6" s="45" t="s">
        <v>528</v>
      </c>
      <c r="N6" s="45" t="s">
        <v>529</v>
      </c>
      <c r="O6" s="85" t="s">
        <v>530</v>
      </c>
      <c r="P6" s="91" t="s">
        <v>531</v>
      </c>
    </row>
    <row r="7" spans="1:16" ht="21.6" customHeight="1" x14ac:dyDescent="0.2">
      <c r="A7" s="47" t="s">
        <v>13</v>
      </c>
      <c r="B7" s="47" t="s">
        <v>14</v>
      </c>
      <c r="C7" s="47" t="s">
        <v>15</v>
      </c>
      <c r="D7" s="47" t="s">
        <v>16</v>
      </c>
      <c r="E7" s="47" t="s">
        <v>17</v>
      </c>
      <c r="F7" s="47" t="s">
        <v>18</v>
      </c>
      <c r="G7" s="47" t="s">
        <v>19</v>
      </c>
      <c r="H7" s="47" t="s">
        <v>20</v>
      </c>
      <c r="I7" s="47" t="s">
        <v>21</v>
      </c>
      <c r="J7" s="47" t="s">
        <v>22</v>
      </c>
      <c r="K7" s="47" t="s">
        <v>23</v>
      </c>
      <c r="L7" s="47" t="s">
        <v>24</v>
      </c>
      <c r="M7" s="47" t="s">
        <v>25</v>
      </c>
      <c r="N7" s="47">
        <v>14</v>
      </c>
      <c r="O7" s="86">
        <v>15</v>
      </c>
      <c r="P7" s="91">
        <v>16</v>
      </c>
    </row>
    <row r="8" spans="1:16" ht="15.75" x14ac:dyDescent="0.2">
      <c r="A8" s="48" t="s">
        <v>317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50">
        <f>M9</f>
        <v>500000000.00000006</v>
      </c>
      <c r="N8" s="50">
        <f t="shared" ref="N8:O12" si="0">N9</f>
        <v>63870065.919999994</v>
      </c>
      <c r="O8" s="159">
        <f t="shared" si="0"/>
        <v>63870065.919999994</v>
      </c>
      <c r="P8" s="94">
        <f>O8/M8</f>
        <v>0.12774013183999997</v>
      </c>
    </row>
    <row r="9" spans="1:16" s="56" customFormat="1" ht="36.75" customHeight="1" x14ac:dyDescent="0.2">
      <c r="A9" s="51" t="s">
        <v>262</v>
      </c>
      <c r="B9" s="52">
        <v>14</v>
      </c>
      <c r="C9" s="53" t="s">
        <v>0</v>
      </c>
      <c r="D9" s="53" t="s">
        <v>0</v>
      </c>
      <c r="E9" s="53" t="s">
        <v>0</v>
      </c>
      <c r="F9" s="53" t="s">
        <v>0</v>
      </c>
      <c r="G9" s="53" t="s">
        <v>0</v>
      </c>
      <c r="H9" s="54" t="s">
        <v>0</v>
      </c>
      <c r="I9" s="54" t="s">
        <v>0</v>
      </c>
      <c r="J9" s="54" t="s">
        <v>0</v>
      </c>
      <c r="K9" s="54" t="s">
        <v>0</v>
      </c>
      <c r="L9" s="54" t="s">
        <v>0</v>
      </c>
      <c r="M9" s="55">
        <f>M10</f>
        <v>500000000.00000006</v>
      </c>
      <c r="N9" s="55">
        <f t="shared" si="0"/>
        <v>63870065.919999994</v>
      </c>
      <c r="O9" s="87">
        <f t="shared" si="0"/>
        <v>63870065.919999994</v>
      </c>
      <c r="P9" s="94">
        <f t="shared" ref="P9:P72" si="1">O9/M9</f>
        <v>0.12774013183999997</v>
      </c>
    </row>
    <row r="10" spans="1:16" s="56" customFormat="1" ht="94.5" x14ac:dyDescent="0.2">
      <c r="A10" s="51" t="s">
        <v>437</v>
      </c>
      <c r="B10" s="52">
        <v>14</v>
      </c>
      <c r="C10" s="53" t="s">
        <v>13</v>
      </c>
      <c r="D10" s="53" t="s">
        <v>0</v>
      </c>
      <c r="E10" s="53" t="s">
        <v>0</v>
      </c>
      <c r="F10" s="53" t="s">
        <v>0</v>
      </c>
      <c r="G10" s="53" t="s">
        <v>0</v>
      </c>
      <c r="H10" s="54" t="s">
        <v>0</v>
      </c>
      <c r="I10" s="54" t="s">
        <v>0</v>
      </c>
      <c r="J10" s="54" t="s">
        <v>0</v>
      </c>
      <c r="K10" s="54" t="s">
        <v>0</v>
      </c>
      <c r="L10" s="54" t="s">
        <v>0</v>
      </c>
      <c r="M10" s="55">
        <f>M11</f>
        <v>500000000.00000006</v>
      </c>
      <c r="N10" s="55">
        <f t="shared" si="0"/>
        <v>63870065.919999994</v>
      </c>
      <c r="O10" s="87">
        <f t="shared" si="0"/>
        <v>63870065.919999994</v>
      </c>
      <c r="P10" s="94">
        <f t="shared" si="1"/>
        <v>0.12774013183999997</v>
      </c>
    </row>
    <row r="11" spans="1:16" s="56" customFormat="1" ht="174.75" customHeight="1" x14ac:dyDescent="0.2">
      <c r="A11" s="57" t="s">
        <v>438</v>
      </c>
      <c r="B11" s="52">
        <v>14</v>
      </c>
      <c r="C11" s="53" t="s">
        <v>13</v>
      </c>
      <c r="D11" s="53" t="s">
        <v>439</v>
      </c>
      <c r="E11" s="53" t="s">
        <v>0</v>
      </c>
      <c r="F11" s="53" t="s">
        <v>0</v>
      </c>
      <c r="G11" s="53" t="s">
        <v>0</v>
      </c>
      <c r="H11" s="54" t="s">
        <v>0</v>
      </c>
      <c r="I11" s="54" t="s">
        <v>0</v>
      </c>
      <c r="J11" s="54" t="s">
        <v>0</v>
      </c>
      <c r="K11" s="54" t="s">
        <v>0</v>
      </c>
      <c r="L11" s="54" t="s">
        <v>0</v>
      </c>
      <c r="M11" s="55">
        <f>M12</f>
        <v>500000000.00000006</v>
      </c>
      <c r="N11" s="55">
        <f t="shared" si="0"/>
        <v>63870065.919999994</v>
      </c>
      <c r="O11" s="87">
        <f t="shared" si="0"/>
        <v>63870065.919999994</v>
      </c>
      <c r="P11" s="94">
        <f t="shared" si="1"/>
        <v>0.12774013183999997</v>
      </c>
    </row>
    <row r="12" spans="1:16" s="56" customFormat="1" ht="31.5" x14ac:dyDescent="0.2">
      <c r="A12" s="51" t="s">
        <v>440</v>
      </c>
      <c r="B12" s="52">
        <v>14</v>
      </c>
      <c r="C12" s="53" t="s">
        <v>13</v>
      </c>
      <c r="D12" s="53" t="s">
        <v>439</v>
      </c>
      <c r="E12" s="53" t="s">
        <v>441</v>
      </c>
      <c r="F12" s="53" t="s">
        <v>0</v>
      </c>
      <c r="G12" s="53" t="s">
        <v>0</v>
      </c>
      <c r="H12" s="54" t="s">
        <v>0</v>
      </c>
      <c r="I12" s="54" t="s">
        <v>0</v>
      </c>
      <c r="J12" s="54" t="s">
        <v>0</v>
      </c>
      <c r="K12" s="54" t="s">
        <v>0</v>
      </c>
      <c r="L12" s="54" t="s">
        <v>0</v>
      </c>
      <c r="M12" s="55">
        <f>M13</f>
        <v>500000000.00000006</v>
      </c>
      <c r="N12" s="55">
        <f t="shared" si="0"/>
        <v>63870065.919999994</v>
      </c>
      <c r="O12" s="87">
        <f t="shared" si="0"/>
        <v>63870065.919999994</v>
      </c>
      <c r="P12" s="94">
        <f t="shared" si="1"/>
        <v>0.12774013183999997</v>
      </c>
    </row>
    <row r="13" spans="1:16" s="56" customFormat="1" ht="15.75" x14ac:dyDescent="0.2">
      <c r="A13" s="58" t="s">
        <v>265</v>
      </c>
      <c r="B13" s="52">
        <v>14</v>
      </c>
      <c r="C13" s="53" t="s">
        <v>13</v>
      </c>
      <c r="D13" s="53" t="s">
        <v>439</v>
      </c>
      <c r="E13" s="53" t="s">
        <v>441</v>
      </c>
      <c r="F13" s="53" t="s">
        <v>91</v>
      </c>
      <c r="G13" s="53" t="s">
        <v>0</v>
      </c>
      <c r="H13" s="53" t="s">
        <v>0</v>
      </c>
      <c r="I13" s="53" t="s">
        <v>0</v>
      </c>
      <c r="J13" s="53" t="s">
        <v>0</v>
      </c>
      <c r="K13" s="53" t="s">
        <v>0</v>
      </c>
      <c r="L13" s="53" t="s">
        <v>0</v>
      </c>
      <c r="M13" s="55">
        <f>M14+M70+M82+M88+M94</f>
        <v>500000000.00000006</v>
      </c>
      <c r="N13" s="55">
        <f t="shared" ref="N13:O13" si="2">N14+N70+N82+N88+N94</f>
        <v>63870065.919999994</v>
      </c>
      <c r="O13" s="87">
        <f t="shared" si="2"/>
        <v>63870065.919999994</v>
      </c>
      <c r="P13" s="94">
        <f t="shared" si="1"/>
        <v>0.12774013183999997</v>
      </c>
    </row>
    <row r="14" spans="1:16" s="56" customFormat="1" ht="31.5" x14ac:dyDescent="0.2">
      <c r="A14" s="58" t="s">
        <v>266</v>
      </c>
      <c r="B14" s="52">
        <v>14</v>
      </c>
      <c r="C14" s="53" t="s">
        <v>13</v>
      </c>
      <c r="D14" s="53" t="s">
        <v>439</v>
      </c>
      <c r="E14" s="53" t="s">
        <v>441</v>
      </c>
      <c r="F14" s="53" t="s">
        <v>91</v>
      </c>
      <c r="G14" s="53" t="s">
        <v>61</v>
      </c>
      <c r="H14" s="53" t="s">
        <v>0</v>
      </c>
      <c r="I14" s="53" t="s">
        <v>0</v>
      </c>
      <c r="J14" s="53" t="s">
        <v>0</v>
      </c>
      <c r="K14" s="53" t="s">
        <v>0</v>
      </c>
      <c r="L14" s="53" t="s">
        <v>0</v>
      </c>
      <c r="M14" s="55">
        <f t="shared" ref="M14:O15" si="3">M15</f>
        <v>469312771.40000004</v>
      </c>
      <c r="N14" s="55">
        <f t="shared" si="3"/>
        <v>61546589.119999997</v>
      </c>
      <c r="O14" s="87">
        <f t="shared" si="3"/>
        <v>61546589.119999997</v>
      </c>
      <c r="P14" s="94">
        <f t="shared" si="1"/>
        <v>0.13114194386059699</v>
      </c>
    </row>
    <row r="15" spans="1:16" s="56" customFormat="1" ht="78.75" x14ac:dyDescent="0.2">
      <c r="A15" s="51" t="s">
        <v>442</v>
      </c>
      <c r="B15" s="52">
        <v>14</v>
      </c>
      <c r="C15" s="53" t="s">
        <v>13</v>
      </c>
      <c r="D15" s="53" t="s">
        <v>439</v>
      </c>
      <c r="E15" s="53" t="s">
        <v>441</v>
      </c>
      <c r="F15" s="53" t="s">
        <v>91</v>
      </c>
      <c r="G15" s="53" t="s">
        <v>61</v>
      </c>
      <c r="H15" s="53" t="s">
        <v>443</v>
      </c>
      <c r="I15" s="54" t="s">
        <v>0</v>
      </c>
      <c r="J15" s="54" t="s">
        <v>0</v>
      </c>
      <c r="K15" s="54" t="s">
        <v>0</v>
      </c>
      <c r="L15" s="54" t="s">
        <v>0</v>
      </c>
      <c r="M15" s="55">
        <f t="shared" si="3"/>
        <v>469312771.40000004</v>
      </c>
      <c r="N15" s="55">
        <f t="shared" si="3"/>
        <v>61546589.119999997</v>
      </c>
      <c r="O15" s="87">
        <f t="shared" si="3"/>
        <v>61546589.119999997</v>
      </c>
      <c r="P15" s="94">
        <f t="shared" si="1"/>
        <v>0.13114194386059699</v>
      </c>
    </row>
    <row r="16" spans="1:16" s="56" customFormat="1" ht="189" x14ac:dyDescent="0.2">
      <c r="A16" s="59" t="s">
        <v>493</v>
      </c>
      <c r="B16" s="52">
        <v>14</v>
      </c>
      <c r="C16" s="53" t="s">
        <v>13</v>
      </c>
      <c r="D16" s="53" t="s">
        <v>439</v>
      </c>
      <c r="E16" s="53" t="s">
        <v>441</v>
      </c>
      <c r="F16" s="53" t="s">
        <v>91</v>
      </c>
      <c r="G16" s="53" t="s">
        <v>61</v>
      </c>
      <c r="H16" s="53" t="s">
        <v>443</v>
      </c>
      <c r="I16" s="60">
        <v>460</v>
      </c>
      <c r="J16" s="53" t="s">
        <v>0</v>
      </c>
      <c r="K16" s="53" t="s">
        <v>0</v>
      </c>
      <c r="L16" s="53" t="s">
        <v>0</v>
      </c>
      <c r="M16" s="55">
        <f>M17+M67</f>
        <v>469312771.40000004</v>
      </c>
      <c r="N16" s="55">
        <f t="shared" ref="N16:O16" si="4">N17+N67</f>
        <v>61546589.119999997</v>
      </c>
      <c r="O16" s="87">
        <f t="shared" si="4"/>
        <v>61546589.119999997</v>
      </c>
      <c r="P16" s="94">
        <f t="shared" si="1"/>
        <v>0.13114194386059699</v>
      </c>
    </row>
    <row r="17" spans="1:16" s="56" customFormat="1" ht="78.75" x14ac:dyDescent="0.2">
      <c r="A17" s="58" t="s">
        <v>488</v>
      </c>
      <c r="B17" s="52">
        <v>14</v>
      </c>
      <c r="C17" s="53" t="s">
        <v>13</v>
      </c>
      <c r="D17" s="53" t="s">
        <v>439</v>
      </c>
      <c r="E17" s="53" t="s">
        <v>441</v>
      </c>
      <c r="F17" s="53" t="s">
        <v>91</v>
      </c>
      <c r="G17" s="53" t="s">
        <v>61</v>
      </c>
      <c r="H17" s="53" t="s">
        <v>443</v>
      </c>
      <c r="I17" s="61" t="s">
        <v>444</v>
      </c>
      <c r="J17" s="53"/>
      <c r="K17" s="53"/>
      <c r="L17" s="53"/>
      <c r="M17" s="55">
        <f>M19+M25+M29+M40+M48+M50+M55+M60+M66</f>
        <v>421140163.40000004</v>
      </c>
      <c r="N17" s="55">
        <f t="shared" ref="N17:O17" si="5">N19+N25+N29+N40+N48+N50+N55+N60+N66</f>
        <v>61546589.119999997</v>
      </c>
      <c r="O17" s="87">
        <f t="shared" si="5"/>
        <v>61546589.119999997</v>
      </c>
      <c r="P17" s="94">
        <f t="shared" si="1"/>
        <v>0.14614276782132243</v>
      </c>
    </row>
    <row r="18" spans="1:16" s="56" customFormat="1" ht="94.5" hidden="1" x14ac:dyDescent="0.2">
      <c r="A18" s="51" t="s">
        <v>494</v>
      </c>
      <c r="B18" s="52">
        <v>14</v>
      </c>
      <c r="C18" s="53" t="s">
        <v>13</v>
      </c>
      <c r="D18" s="53" t="s">
        <v>439</v>
      </c>
      <c r="E18" s="53" t="s">
        <v>441</v>
      </c>
      <c r="F18" s="53" t="s">
        <v>91</v>
      </c>
      <c r="G18" s="53" t="s">
        <v>61</v>
      </c>
      <c r="H18" s="53" t="s">
        <v>443</v>
      </c>
      <c r="I18" s="61" t="s">
        <v>444</v>
      </c>
      <c r="J18" s="53"/>
      <c r="K18" s="53"/>
      <c r="L18" s="53"/>
      <c r="M18" s="55">
        <v>421140163.39999998</v>
      </c>
      <c r="N18" s="55">
        <v>245073442</v>
      </c>
      <c r="O18" s="87">
        <v>162505600</v>
      </c>
      <c r="P18" s="94">
        <f t="shared" si="1"/>
        <v>0.38587058210748659</v>
      </c>
    </row>
    <row r="19" spans="1:16" s="56" customFormat="1" ht="63" x14ac:dyDescent="0.2">
      <c r="A19" s="62" t="s">
        <v>457</v>
      </c>
      <c r="B19" s="63">
        <v>14</v>
      </c>
      <c r="C19" s="63">
        <v>1</v>
      </c>
      <c r="D19" s="63">
        <v>29</v>
      </c>
      <c r="E19" s="63">
        <v>814</v>
      </c>
      <c r="F19" s="64" t="s">
        <v>91</v>
      </c>
      <c r="G19" s="64" t="s">
        <v>61</v>
      </c>
      <c r="H19" s="63">
        <v>13830</v>
      </c>
      <c r="I19" s="63">
        <v>461</v>
      </c>
      <c r="J19" s="65"/>
      <c r="K19" s="66"/>
      <c r="L19" s="67"/>
      <c r="M19" s="55">
        <f>SUM(M20:M24)</f>
        <v>8384588.4000000004</v>
      </c>
      <c r="N19" s="55">
        <f t="shared" ref="N19:O19" si="6">SUM(N20:N24)</f>
        <v>8384588.4000000004</v>
      </c>
      <c r="O19" s="87">
        <f t="shared" si="6"/>
        <v>8384588.4000000004</v>
      </c>
      <c r="P19" s="94">
        <f t="shared" si="1"/>
        <v>1</v>
      </c>
    </row>
    <row r="20" spans="1:16" s="56" customFormat="1" ht="47.25" x14ac:dyDescent="0.2">
      <c r="A20" s="68" t="s">
        <v>458</v>
      </c>
      <c r="B20" s="63">
        <v>14</v>
      </c>
      <c r="C20" s="63">
        <v>1</v>
      </c>
      <c r="D20" s="63">
        <v>29</v>
      </c>
      <c r="E20" s="63">
        <v>814</v>
      </c>
      <c r="F20" s="64" t="s">
        <v>91</v>
      </c>
      <c r="G20" s="64" t="s">
        <v>61</v>
      </c>
      <c r="H20" s="63">
        <v>13830</v>
      </c>
      <c r="I20" s="63">
        <v>461</v>
      </c>
      <c r="J20" s="65" t="s">
        <v>456</v>
      </c>
      <c r="K20" s="66">
        <v>39.299999999999997</v>
      </c>
      <c r="L20" s="67">
        <v>2018</v>
      </c>
      <c r="M20" s="69">
        <v>1195191.6000000001</v>
      </c>
      <c r="N20" s="95">
        <v>1195191.6000000001</v>
      </c>
      <c r="O20" s="160">
        <v>1195191.6000000001</v>
      </c>
      <c r="P20" s="94">
        <f t="shared" si="1"/>
        <v>1</v>
      </c>
    </row>
    <row r="21" spans="1:16" s="56" customFormat="1" ht="47.25" x14ac:dyDescent="0.2">
      <c r="A21" s="68" t="s">
        <v>458</v>
      </c>
      <c r="B21" s="63">
        <v>14</v>
      </c>
      <c r="C21" s="63">
        <v>1</v>
      </c>
      <c r="D21" s="63">
        <v>29</v>
      </c>
      <c r="E21" s="63">
        <v>814</v>
      </c>
      <c r="F21" s="64" t="s">
        <v>91</v>
      </c>
      <c r="G21" s="64" t="s">
        <v>61</v>
      </c>
      <c r="H21" s="63">
        <v>13830</v>
      </c>
      <c r="I21" s="63">
        <v>461</v>
      </c>
      <c r="J21" s="65" t="s">
        <v>456</v>
      </c>
      <c r="K21" s="66">
        <v>39.5</v>
      </c>
      <c r="L21" s="67">
        <v>2018</v>
      </c>
      <c r="M21" s="69">
        <v>1201274</v>
      </c>
      <c r="N21" s="95">
        <v>1201274</v>
      </c>
      <c r="O21" s="160">
        <v>1201274</v>
      </c>
      <c r="P21" s="94">
        <f t="shared" si="1"/>
        <v>1</v>
      </c>
    </row>
    <row r="22" spans="1:16" s="56" customFormat="1" ht="47.25" x14ac:dyDescent="0.2">
      <c r="A22" s="68" t="s">
        <v>459</v>
      </c>
      <c r="B22" s="63">
        <v>14</v>
      </c>
      <c r="C22" s="63">
        <v>1</v>
      </c>
      <c r="D22" s="63">
        <v>29</v>
      </c>
      <c r="E22" s="63">
        <v>814</v>
      </c>
      <c r="F22" s="64" t="s">
        <v>91</v>
      </c>
      <c r="G22" s="64" t="s">
        <v>61</v>
      </c>
      <c r="H22" s="63">
        <v>13830</v>
      </c>
      <c r="I22" s="63">
        <v>461</v>
      </c>
      <c r="J22" s="65" t="s">
        <v>456</v>
      </c>
      <c r="K22" s="66">
        <v>58.5</v>
      </c>
      <c r="L22" s="67">
        <v>2018</v>
      </c>
      <c r="M22" s="69">
        <v>1779102</v>
      </c>
      <c r="N22" s="95">
        <v>1779102</v>
      </c>
      <c r="O22" s="160">
        <v>1779102</v>
      </c>
      <c r="P22" s="94">
        <f t="shared" si="1"/>
        <v>1</v>
      </c>
    </row>
    <row r="23" spans="1:16" s="56" customFormat="1" ht="47.25" x14ac:dyDescent="0.2">
      <c r="A23" s="68" t="s">
        <v>459</v>
      </c>
      <c r="B23" s="63">
        <v>14</v>
      </c>
      <c r="C23" s="63">
        <v>1</v>
      </c>
      <c r="D23" s="63">
        <v>29</v>
      </c>
      <c r="E23" s="63">
        <v>814</v>
      </c>
      <c r="F23" s="64" t="s">
        <v>91</v>
      </c>
      <c r="G23" s="64" t="s">
        <v>61</v>
      </c>
      <c r="H23" s="63">
        <v>13830</v>
      </c>
      <c r="I23" s="63">
        <v>461</v>
      </c>
      <c r="J23" s="65" t="s">
        <v>456</v>
      </c>
      <c r="K23" s="66">
        <v>58.9</v>
      </c>
      <c r="L23" s="67">
        <v>2018</v>
      </c>
      <c r="M23" s="69">
        <v>1791266.8</v>
      </c>
      <c r="N23" s="95">
        <v>1791266.8</v>
      </c>
      <c r="O23" s="160">
        <v>1791266.8</v>
      </c>
      <c r="P23" s="94">
        <f t="shared" si="1"/>
        <v>1</v>
      </c>
    </row>
    <row r="24" spans="1:16" s="56" customFormat="1" ht="39.75" customHeight="1" x14ac:dyDescent="0.2">
      <c r="A24" s="68" t="s">
        <v>460</v>
      </c>
      <c r="B24" s="63">
        <v>14</v>
      </c>
      <c r="C24" s="63">
        <v>1</v>
      </c>
      <c r="D24" s="63">
        <v>29</v>
      </c>
      <c r="E24" s="63">
        <v>814</v>
      </c>
      <c r="F24" s="64" t="s">
        <v>91</v>
      </c>
      <c r="G24" s="64" t="s">
        <v>61</v>
      </c>
      <c r="H24" s="63">
        <v>13830</v>
      </c>
      <c r="I24" s="63">
        <v>461</v>
      </c>
      <c r="J24" s="65" t="s">
        <v>456</v>
      </c>
      <c r="K24" s="66">
        <v>79.5</v>
      </c>
      <c r="L24" s="67" t="s">
        <v>301</v>
      </c>
      <c r="M24" s="69">
        <v>2417754</v>
      </c>
      <c r="N24" s="95">
        <v>2417754</v>
      </c>
      <c r="O24" s="160">
        <v>2417754</v>
      </c>
      <c r="P24" s="94">
        <f t="shared" si="1"/>
        <v>1</v>
      </c>
    </row>
    <row r="25" spans="1:16" s="56" customFormat="1" ht="78.75" x14ac:dyDescent="0.2">
      <c r="A25" s="62" t="s">
        <v>461</v>
      </c>
      <c r="B25" s="63">
        <v>14</v>
      </c>
      <c r="C25" s="63">
        <v>1</v>
      </c>
      <c r="D25" s="63">
        <v>29</v>
      </c>
      <c r="E25" s="63">
        <v>814</v>
      </c>
      <c r="F25" s="64" t="s">
        <v>91</v>
      </c>
      <c r="G25" s="64" t="s">
        <v>61</v>
      </c>
      <c r="H25" s="63">
        <v>13830</v>
      </c>
      <c r="I25" s="63">
        <v>461</v>
      </c>
      <c r="J25" s="65"/>
      <c r="K25" s="66"/>
      <c r="L25" s="67"/>
      <c r="M25" s="55">
        <f>SUM(M26:M28)</f>
        <v>4014384.0000000005</v>
      </c>
      <c r="N25" s="55">
        <f>SUM(N26:N28)</f>
        <v>4014384.0000000005</v>
      </c>
      <c r="O25" s="87">
        <f>SUM(O26:O28)</f>
        <v>4014384.0000000005</v>
      </c>
      <c r="P25" s="94">
        <f t="shared" si="1"/>
        <v>1</v>
      </c>
    </row>
    <row r="26" spans="1:16" s="56" customFormat="1" ht="47.25" x14ac:dyDescent="0.2">
      <c r="A26" s="62" t="s">
        <v>462</v>
      </c>
      <c r="B26" s="63">
        <v>14</v>
      </c>
      <c r="C26" s="63">
        <v>1</v>
      </c>
      <c r="D26" s="63">
        <v>29</v>
      </c>
      <c r="E26" s="63">
        <v>814</v>
      </c>
      <c r="F26" s="64" t="s">
        <v>91</v>
      </c>
      <c r="G26" s="64" t="s">
        <v>61</v>
      </c>
      <c r="H26" s="63">
        <v>13830</v>
      </c>
      <c r="I26" s="63">
        <v>461</v>
      </c>
      <c r="J26" s="65" t="s">
        <v>456</v>
      </c>
      <c r="K26" s="66">
        <v>43.6</v>
      </c>
      <c r="L26" s="67">
        <v>2018</v>
      </c>
      <c r="M26" s="69">
        <v>1319880.8</v>
      </c>
      <c r="N26" s="69">
        <v>1319880.8</v>
      </c>
      <c r="O26" s="88">
        <v>1319880.8</v>
      </c>
      <c r="P26" s="94">
        <f t="shared" si="1"/>
        <v>1</v>
      </c>
    </row>
    <row r="27" spans="1:16" s="56" customFormat="1" ht="47.25" x14ac:dyDescent="0.2">
      <c r="A27" s="62" t="s">
        <v>462</v>
      </c>
      <c r="B27" s="63">
        <v>14</v>
      </c>
      <c r="C27" s="63">
        <v>1</v>
      </c>
      <c r="D27" s="63">
        <v>29</v>
      </c>
      <c r="E27" s="63">
        <v>814</v>
      </c>
      <c r="F27" s="64" t="s">
        <v>91</v>
      </c>
      <c r="G27" s="64" t="s">
        <v>61</v>
      </c>
      <c r="H27" s="63">
        <v>13830</v>
      </c>
      <c r="I27" s="63">
        <v>461</v>
      </c>
      <c r="J27" s="65" t="s">
        <v>456</v>
      </c>
      <c r="K27" s="66">
        <v>44.9</v>
      </c>
      <c r="L27" s="67">
        <v>2018</v>
      </c>
      <c r="M27" s="69">
        <v>1332045.6000000001</v>
      </c>
      <c r="N27" s="69">
        <v>1332045.6000000001</v>
      </c>
      <c r="O27" s="88">
        <v>1332045.6000000001</v>
      </c>
      <c r="P27" s="94">
        <f t="shared" si="1"/>
        <v>1</v>
      </c>
    </row>
    <row r="28" spans="1:16" s="56" customFormat="1" ht="47.25" x14ac:dyDescent="0.2">
      <c r="A28" s="62" t="s">
        <v>462</v>
      </c>
      <c r="B28" s="63">
        <v>14</v>
      </c>
      <c r="C28" s="63">
        <v>1</v>
      </c>
      <c r="D28" s="63">
        <v>29</v>
      </c>
      <c r="E28" s="63">
        <v>814</v>
      </c>
      <c r="F28" s="64" t="s">
        <v>91</v>
      </c>
      <c r="G28" s="64" t="s">
        <v>61</v>
      </c>
      <c r="H28" s="63">
        <v>13830</v>
      </c>
      <c r="I28" s="63">
        <v>461</v>
      </c>
      <c r="J28" s="65" t="s">
        <v>456</v>
      </c>
      <c r="K28" s="66">
        <v>45.3</v>
      </c>
      <c r="L28" s="67">
        <v>2018</v>
      </c>
      <c r="M28" s="69">
        <v>1362457.6000000001</v>
      </c>
      <c r="N28" s="69">
        <v>1362457.6000000001</v>
      </c>
      <c r="O28" s="88">
        <v>1362457.6000000001</v>
      </c>
      <c r="P28" s="94">
        <f t="shared" si="1"/>
        <v>1</v>
      </c>
    </row>
    <row r="29" spans="1:16" s="56" customFormat="1" ht="78.75" x14ac:dyDescent="0.2">
      <c r="A29" s="62" t="s">
        <v>463</v>
      </c>
      <c r="B29" s="63">
        <v>14</v>
      </c>
      <c r="C29" s="63">
        <v>1</v>
      </c>
      <c r="D29" s="63">
        <v>29</v>
      </c>
      <c r="E29" s="63">
        <v>814</v>
      </c>
      <c r="F29" s="64" t="s">
        <v>91</v>
      </c>
      <c r="G29" s="64" t="s">
        <v>61</v>
      </c>
      <c r="H29" s="63">
        <v>13830</v>
      </c>
      <c r="I29" s="63">
        <v>461</v>
      </c>
      <c r="J29" s="70"/>
      <c r="K29" s="70"/>
      <c r="L29" s="67"/>
      <c r="M29" s="55">
        <f>SUM(M30:M39)</f>
        <v>16912113.199999999</v>
      </c>
      <c r="N29" s="55">
        <f>SUM(N30:N39)</f>
        <v>16912113.199999999</v>
      </c>
      <c r="O29" s="87">
        <f>SUM(O30:O39)</f>
        <v>16912113.199999999</v>
      </c>
      <c r="P29" s="94">
        <f t="shared" si="1"/>
        <v>1</v>
      </c>
    </row>
    <row r="30" spans="1:16" s="56" customFormat="1" ht="47.25" x14ac:dyDescent="0.2">
      <c r="A30" s="68" t="s">
        <v>464</v>
      </c>
      <c r="B30" s="63">
        <v>14</v>
      </c>
      <c r="C30" s="63">
        <v>1</v>
      </c>
      <c r="D30" s="63">
        <v>29</v>
      </c>
      <c r="E30" s="63">
        <v>814</v>
      </c>
      <c r="F30" s="64" t="s">
        <v>91</v>
      </c>
      <c r="G30" s="64" t="s">
        <v>61</v>
      </c>
      <c r="H30" s="63">
        <v>13830</v>
      </c>
      <c r="I30" s="63">
        <v>461</v>
      </c>
      <c r="J30" s="65" t="s">
        <v>277</v>
      </c>
      <c r="K30" s="67">
        <v>50.4</v>
      </c>
      <c r="L30" s="67">
        <v>2018</v>
      </c>
      <c r="M30" s="69">
        <v>1532764.8</v>
      </c>
      <c r="N30" s="69">
        <v>1532764.8</v>
      </c>
      <c r="O30" s="88">
        <v>1532764.8</v>
      </c>
      <c r="P30" s="94">
        <f t="shared" si="1"/>
        <v>1</v>
      </c>
    </row>
    <row r="31" spans="1:16" s="56" customFormat="1" ht="47.25" x14ac:dyDescent="0.2">
      <c r="A31" s="68" t="s">
        <v>464</v>
      </c>
      <c r="B31" s="63">
        <v>14</v>
      </c>
      <c r="C31" s="63">
        <v>1</v>
      </c>
      <c r="D31" s="63">
        <v>29</v>
      </c>
      <c r="E31" s="63">
        <v>814</v>
      </c>
      <c r="F31" s="64" t="s">
        <v>91</v>
      </c>
      <c r="G31" s="64" t="s">
        <v>61</v>
      </c>
      <c r="H31" s="63">
        <v>13830</v>
      </c>
      <c r="I31" s="63">
        <v>461</v>
      </c>
      <c r="J31" s="65" t="s">
        <v>277</v>
      </c>
      <c r="K31" s="67" t="s">
        <v>465</v>
      </c>
      <c r="L31" s="67" t="s">
        <v>301</v>
      </c>
      <c r="M31" s="69">
        <v>1535806</v>
      </c>
      <c r="N31" s="69">
        <v>1535806</v>
      </c>
      <c r="O31" s="88">
        <v>1535806</v>
      </c>
      <c r="P31" s="94">
        <f t="shared" si="1"/>
        <v>1</v>
      </c>
    </row>
    <row r="32" spans="1:16" s="56" customFormat="1" ht="47.25" x14ac:dyDescent="0.2">
      <c r="A32" s="68" t="s">
        <v>464</v>
      </c>
      <c r="B32" s="63">
        <v>14</v>
      </c>
      <c r="C32" s="63">
        <v>1</v>
      </c>
      <c r="D32" s="63">
        <v>29</v>
      </c>
      <c r="E32" s="63">
        <v>814</v>
      </c>
      <c r="F32" s="64" t="s">
        <v>91</v>
      </c>
      <c r="G32" s="64" t="s">
        <v>61</v>
      </c>
      <c r="H32" s="63">
        <v>13830</v>
      </c>
      <c r="I32" s="63">
        <v>461</v>
      </c>
      <c r="J32" s="65" t="s">
        <v>277</v>
      </c>
      <c r="K32" s="67" t="s">
        <v>466</v>
      </c>
      <c r="L32" s="67" t="s">
        <v>301</v>
      </c>
      <c r="M32" s="69">
        <v>1547970.8</v>
      </c>
      <c r="N32" s="69">
        <v>1547970.8</v>
      </c>
      <c r="O32" s="88">
        <v>1547970.8</v>
      </c>
      <c r="P32" s="94">
        <f t="shared" si="1"/>
        <v>1</v>
      </c>
    </row>
    <row r="33" spans="1:16" s="56" customFormat="1" ht="47.25" x14ac:dyDescent="0.2">
      <c r="A33" s="68" t="s">
        <v>464</v>
      </c>
      <c r="B33" s="63">
        <v>14</v>
      </c>
      <c r="C33" s="63">
        <v>1</v>
      </c>
      <c r="D33" s="63">
        <v>29</v>
      </c>
      <c r="E33" s="63">
        <v>814</v>
      </c>
      <c r="F33" s="64" t="s">
        <v>91</v>
      </c>
      <c r="G33" s="64" t="s">
        <v>61</v>
      </c>
      <c r="H33" s="63">
        <v>13830</v>
      </c>
      <c r="I33" s="63">
        <v>461</v>
      </c>
      <c r="J33" s="65" t="s">
        <v>277</v>
      </c>
      <c r="K33" s="67" t="s">
        <v>504</v>
      </c>
      <c r="L33" s="67" t="s">
        <v>301</v>
      </c>
      <c r="M33" s="69">
        <v>1554053.2</v>
      </c>
      <c r="N33" s="69">
        <v>1554053.2</v>
      </c>
      <c r="O33" s="88">
        <v>1554053.2</v>
      </c>
      <c r="P33" s="94">
        <f t="shared" si="1"/>
        <v>1</v>
      </c>
    </row>
    <row r="34" spans="1:16" s="56" customFormat="1" ht="47.25" x14ac:dyDescent="0.2">
      <c r="A34" s="68" t="s">
        <v>464</v>
      </c>
      <c r="B34" s="63">
        <v>14</v>
      </c>
      <c r="C34" s="63">
        <v>1</v>
      </c>
      <c r="D34" s="63">
        <v>29</v>
      </c>
      <c r="E34" s="63">
        <v>814</v>
      </c>
      <c r="F34" s="64" t="s">
        <v>91</v>
      </c>
      <c r="G34" s="64" t="s">
        <v>61</v>
      </c>
      <c r="H34" s="63">
        <v>13830</v>
      </c>
      <c r="I34" s="63">
        <v>461</v>
      </c>
      <c r="J34" s="65" t="s">
        <v>277</v>
      </c>
      <c r="K34" s="67" t="s">
        <v>467</v>
      </c>
      <c r="L34" s="67" t="s">
        <v>301</v>
      </c>
      <c r="M34" s="69">
        <v>1560135.6</v>
      </c>
      <c r="N34" s="69">
        <v>1560135.6</v>
      </c>
      <c r="O34" s="88">
        <v>1560135.6</v>
      </c>
      <c r="P34" s="94">
        <f t="shared" si="1"/>
        <v>1</v>
      </c>
    </row>
    <row r="35" spans="1:16" s="56" customFormat="1" ht="47.25" x14ac:dyDescent="0.2">
      <c r="A35" s="68" t="s">
        <v>464</v>
      </c>
      <c r="B35" s="63">
        <v>14</v>
      </c>
      <c r="C35" s="63">
        <v>1</v>
      </c>
      <c r="D35" s="63">
        <v>29</v>
      </c>
      <c r="E35" s="63">
        <v>814</v>
      </c>
      <c r="F35" s="64" t="s">
        <v>91</v>
      </c>
      <c r="G35" s="64" t="s">
        <v>61</v>
      </c>
      <c r="H35" s="63">
        <v>13830</v>
      </c>
      <c r="I35" s="63">
        <v>461</v>
      </c>
      <c r="J35" s="65" t="s">
        <v>277</v>
      </c>
      <c r="K35" s="67" t="s">
        <v>505</v>
      </c>
      <c r="L35" s="67" t="s">
        <v>301</v>
      </c>
      <c r="M35" s="69">
        <v>1538847.2</v>
      </c>
      <c r="N35" s="69">
        <v>1538847.2</v>
      </c>
      <c r="O35" s="88">
        <v>1538847.2</v>
      </c>
      <c r="P35" s="94">
        <f t="shared" si="1"/>
        <v>1</v>
      </c>
    </row>
    <row r="36" spans="1:16" s="56" customFormat="1" ht="47.25" x14ac:dyDescent="0.2">
      <c r="A36" s="68" t="s">
        <v>464</v>
      </c>
      <c r="B36" s="63">
        <v>14</v>
      </c>
      <c r="C36" s="63">
        <v>1</v>
      </c>
      <c r="D36" s="63">
        <v>29</v>
      </c>
      <c r="E36" s="63">
        <v>814</v>
      </c>
      <c r="F36" s="64" t="s">
        <v>91</v>
      </c>
      <c r="G36" s="64" t="s">
        <v>61</v>
      </c>
      <c r="H36" s="63">
        <v>13830</v>
      </c>
      <c r="I36" s="63">
        <v>461</v>
      </c>
      <c r="J36" s="65" t="s">
        <v>277</v>
      </c>
      <c r="K36" s="67" t="s">
        <v>465</v>
      </c>
      <c r="L36" s="67" t="s">
        <v>301</v>
      </c>
      <c r="M36" s="69">
        <v>1535806</v>
      </c>
      <c r="N36" s="69">
        <v>1535806</v>
      </c>
      <c r="O36" s="88">
        <v>1535806</v>
      </c>
      <c r="P36" s="94">
        <f t="shared" si="1"/>
        <v>1</v>
      </c>
    </row>
    <row r="37" spans="1:16" s="56" customFormat="1" ht="47.25" x14ac:dyDescent="0.2">
      <c r="A37" s="68" t="s">
        <v>464</v>
      </c>
      <c r="B37" s="63">
        <v>14</v>
      </c>
      <c r="C37" s="63">
        <v>1</v>
      </c>
      <c r="D37" s="63">
        <v>29</v>
      </c>
      <c r="E37" s="63">
        <v>814</v>
      </c>
      <c r="F37" s="64" t="s">
        <v>91</v>
      </c>
      <c r="G37" s="64" t="s">
        <v>61</v>
      </c>
      <c r="H37" s="63">
        <v>13830</v>
      </c>
      <c r="I37" s="63">
        <v>461</v>
      </c>
      <c r="J37" s="65" t="s">
        <v>277</v>
      </c>
      <c r="K37" s="67" t="s">
        <v>468</v>
      </c>
      <c r="L37" s="67" t="s">
        <v>301</v>
      </c>
      <c r="M37" s="69">
        <v>1839926</v>
      </c>
      <c r="N37" s="69">
        <v>1839926</v>
      </c>
      <c r="O37" s="88">
        <v>1839926</v>
      </c>
      <c r="P37" s="94">
        <f t="shared" si="1"/>
        <v>1</v>
      </c>
    </row>
    <row r="38" spans="1:16" s="56" customFormat="1" ht="47.25" x14ac:dyDescent="0.2">
      <c r="A38" s="68" t="s">
        <v>464</v>
      </c>
      <c r="B38" s="63">
        <v>14</v>
      </c>
      <c r="C38" s="63">
        <v>1</v>
      </c>
      <c r="D38" s="63">
        <v>29</v>
      </c>
      <c r="E38" s="63">
        <v>814</v>
      </c>
      <c r="F38" s="64" t="s">
        <v>91</v>
      </c>
      <c r="G38" s="64" t="s">
        <v>61</v>
      </c>
      <c r="H38" s="63">
        <v>13830</v>
      </c>
      <c r="I38" s="63">
        <v>461</v>
      </c>
      <c r="J38" s="65" t="s">
        <v>277</v>
      </c>
      <c r="K38" s="67" t="s">
        <v>469</v>
      </c>
      <c r="L38" s="67" t="s">
        <v>301</v>
      </c>
      <c r="M38" s="69">
        <v>1876420.4</v>
      </c>
      <c r="N38" s="69">
        <v>1876420.4</v>
      </c>
      <c r="O38" s="88">
        <v>1876420.4</v>
      </c>
      <c r="P38" s="94">
        <f t="shared" si="1"/>
        <v>1</v>
      </c>
    </row>
    <row r="39" spans="1:16" s="56" customFormat="1" ht="47.25" x14ac:dyDescent="0.2">
      <c r="A39" s="68" t="s">
        <v>470</v>
      </c>
      <c r="B39" s="63">
        <v>14</v>
      </c>
      <c r="C39" s="63">
        <v>1</v>
      </c>
      <c r="D39" s="63">
        <v>29</v>
      </c>
      <c r="E39" s="63">
        <v>814</v>
      </c>
      <c r="F39" s="64" t="s">
        <v>91</v>
      </c>
      <c r="G39" s="64" t="s">
        <v>61</v>
      </c>
      <c r="H39" s="63">
        <v>13830</v>
      </c>
      <c r="I39" s="63">
        <v>461</v>
      </c>
      <c r="J39" s="65" t="s">
        <v>277</v>
      </c>
      <c r="K39" s="67" t="s">
        <v>471</v>
      </c>
      <c r="L39" s="67" t="s">
        <v>301</v>
      </c>
      <c r="M39" s="69">
        <v>2390383.2000000002</v>
      </c>
      <c r="N39" s="69">
        <v>2390383.2000000002</v>
      </c>
      <c r="O39" s="88">
        <v>2390383.2000000002</v>
      </c>
      <c r="P39" s="94">
        <f t="shared" si="1"/>
        <v>1</v>
      </c>
    </row>
    <row r="40" spans="1:16" s="56" customFormat="1" ht="78.75" x14ac:dyDescent="0.2">
      <c r="A40" s="62" t="s">
        <v>472</v>
      </c>
      <c r="B40" s="63">
        <v>14</v>
      </c>
      <c r="C40" s="63">
        <v>1</v>
      </c>
      <c r="D40" s="63">
        <v>29</v>
      </c>
      <c r="E40" s="63">
        <v>814</v>
      </c>
      <c r="F40" s="64" t="s">
        <v>91</v>
      </c>
      <c r="G40" s="64" t="s">
        <v>61</v>
      </c>
      <c r="H40" s="63">
        <v>13830</v>
      </c>
      <c r="I40" s="63">
        <v>461</v>
      </c>
      <c r="J40" s="65"/>
      <c r="K40" s="67"/>
      <c r="L40" s="67"/>
      <c r="M40" s="55">
        <f>SUM(M41:M47)</f>
        <v>8974581.1999999993</v>
      </c>
      <c r="N40" s="55">
        <f>SUM(N41:N47)</f>
        <v>8974581.1999999993</v>
      </c>
      <c r="O40" s="87">
        <f>SUM(O41:O47)</f>
        <v>8974581.1999999993</v>
      </c>
      <c r="P40" s="94">
        <f t="shared" si="1"/>
        <v>1</v>
      </c>
    </row>
    <row r="41" spans="1:16" s="56" customFormat="1" ht="31.5" x14ac:dyDescent="0.2">
      <c r="A41" s="68" t="s">
        <v>473</v>
      </c>
      <c r="B41" s="63">
        <v>14</v>
      </c>
      <c r="C41" s="63">
        <v>1</v>
      </c>
      <c r="D41" s="63">
        <v>29</v>
      </c>
      <c r="E41" s="63">
        <v>814</v>
      </c>
      <c r="F41" s="64" t="s">
        <v>91</v>
      </c>
      <c r="G41" s="64" t="s">
        <v>61</v>
      </c>
      <c r="H41" s="63">
        <v>13830</v>
      </c>
      <c r="I41" s="63">
        <v>461</v>
      </c>
      <c r="J41" s="65" t="s">
        <v>277</v>
      </c>
      <c r="K41" s="67" t="s">
        <v>506</v>
      </c>
      <c r="L41" s="67" t="s">
        <v>301</v>
      </c>
      <c r="M41" s="69">
        <v>1103955.6000000001</v>
      </c>
      <c r="N41" s="69">
        <v>1103955.6000000001</v>
      </c>
      <c r="O41" s="88">
        <v>1103955.6000000001</v>
      </c>
      <c r="P41" s="94">
        <f t="shared" si="1"/>
        <v>1</v>
      </c>
    </row>
    <row r="42" spans="1:16" s="56" customFormat="1" ht="31.5" x14ac:dyDescent="0.2">
      <c r="A42" s="68" t="s">
        <v>473</v>
      </c>
      <c r="B42" s="63">
        <v>14</v>
      </c>
      <c r="C42" s="63">
        <v>1</v>
      </c>
      <c r="D42" s="63">
        <v>29</v>
      </c>
      <c r="E42" s="63">
        <v>814</v>
      </c>
      <c r="F42" s="64" t="s">
        <v>91</v>
      </c>
      <c r="G42" s="64" t="s">
        <v>61</v>
      </c>
      <c r="H42" s="63">
        <v>13830</v>
      </c>
      <c r="I42" s="63">
        <v>461</v>
      </c>
      <c r="J42" s="65" t="s">
        <v>277</v>
      </c>
      <c r="K42" s="67" t="s">
        <v>507</v>
      </c>
      <c r="L42" s="67" t="s">
        <v>301</v>
      </c>
      <c r="M42" s="69">
        <v>1213438.8</v>
      </c>
      <c r="N42" s="69">
        <v>1213438.8</v>
      </c>
      <c r="O42" s="88">
        <v>1213438.8</v>
      </c>
      <c r="P42" s="94">
        <f t="shared" si="1"/>
        <v>1</v>
      </c>
    </row>
    <row r="43" spans="1:16" s="56" customFormat="1" ht="31.5" x14ac:dyDescent="0.2">
      <c r="A43" s="68" t="s">
        <v>473</v>
      </c>
      <c r="B43" s="63">
        <v>14</v>
      </c>
      <c r="C43" s="63">
        <v>1</v>
      </c>
      <c r="D43" s="63">
        <v>29</v>
      </c>
      <c r="E43" s="63">
        <v>814</v>
      </c>
      <c r="F43" s="64" t="s">
        <v>91</v>
      </c>
      <c r="G43" s="64" t="s">
        <v>61</v>
      </c>
      <c r="H43" s="63">
        <v>13830</v>
      </c>
      <c r="I43" s="63">
        <v>461</v>
      </c>
      <c r="J43" s="65" t="s">
        <v>277</v>
      </c>
      <c r="K43" s="67" t="s">
        <v>507</v>
      </c>
      <c r="L43" s="67" t="s">
        <v>301</v>
      </c>
      <c r="M43" s="69">
        <v>1213438.8</v>
      </c>
      <c r="N43" s="69">
        <v>1213438.8</v>
      </c>
      <c r="O43" s="88">
        <v>1213438.8</v>
      </c>
      <c r="P43" s="94">
        <f t="shared" si="1"/>
        <v>1</v>
      </c>
    </row>
    <row r="44" spans="1:16" s="56" customFormat="1" ht="31.5" x14ac:dyDescent="0.2">
      <c r="A44" s="68" t="s">
        <v>473</v>
      </c>
      <c r="B44" s="63">
        <v>14</v>
      </c>
      <c r="C44" s="63">
        <v>1</v>
      </c>
      <c r="D44" s="63">
        <v>29</v>
      </c>
      <c r="E44" s="63">
        <v>814</v>
      </c>
      <c r="F44" s="64" t="s">
        <v>91</v>
      </c>
      <c r="G44" s="64" t="s">
        <v>61</v>
      </c>
      <c r="H44" s="63">
        <v>13830</v>
      </c>
      <c r="I44" s="63">
        <v>461</v>
      </c>
      <c r="J44" s="65" t="s">
        <v>277</v>
      </c>
      <c r="K44" s="67" t="s">
        <v>508</v>
      </c>
      <c r="L44" s="67" t="s">
        <v>301</v>
      </c>
      <c r="M44" s="69">
        <v>1216480</v>
      </c>
      <c r="N44" s="69">
        <v>1216480</v>
      </c>
      <c r="O44" s="88">
        <v>1216480</v>
      </c>
      <c r="P44" s="94">
        <f t="shared" si="1"/>
        <v>1</v>
      </c>
    </row>
    <row r="45" spans="1:16" s="56" customFormat="1" ht="31.5" x14ac:dyDescent="0.2">
      <c r="A45" s="68" t="s">
        <v>473</v>
      </c>
      <c r="B45" s="63">
        <v>14</v>
      </c>
      <c r="C45" s="63">
        <v>1</v>
      </c>
      <c r="D45" s="63">
        <v>29</v>
      </c>
      <c r="E45" s="63">
        <v>814</v>
      </c>
      <c r="F45" s="64" t="s">
        <v>91</v>
      </c>
      <c r="G45" s="64" t="s">
        <v>61</v>
      </c>
      <c r="H45" s="63">
        <v>13830</v>
      </c>
      <c r="I45" s="63">
        <v>461</v>
      </c>
      <c r="J45" s="65" t="s">
        <v>277</v>
      </c>
      <c r="K45" s="67" t="s">
        <v>508</v>
      </c>
      <c r="L45" s="67" t="s">
        <v>301</v>
      </c>
      <c r="M45" s="69">
        <v>1216480</v>
      </c>
      <c r="N45" s="69">
        <v>1216480</v>
      </c>
      <c r="O45" s="88">
        <v>1216480</v>
      </c>
      <c r="P45" s="94">
        <f t="shared" si="1"/>
        <v>1</v>
      </c>
    </row>
    <row r="46" spans="1:16" s="56" customFormat="1" ht="31.5" x14ac:dyDescent="0.2">
      <c r="A46" s="68" t="s">
        <v>473</v>
      </c>
      <c r="B46" s="63">
        <v>14</v>
      </c>
      <c r="C46" s="63">
        <v>1</v>
      </c>
      <c r="D46" s="63">
        <v>29</v>
      </c>
      <c r="E46" s="63">
        <v>814</v>
      </c>
      <c r="F46" s="64" t="s">
        <v>91</v>
      </c>
      <c r="G46" s="64" t="s">
        <v>61</v>
      </c>
      <c r="H46" s="63">
        <v>13830</v>
      </c>
      <c r="I46" s="63">
        <v>461</v>
      </c>
      <c r="J46" s="65" t="s">
        <v>277</v>
      </c>
      <c r="K46" s="67" t="s">
        <v>509</v>
      </c>
      <c r="L46" s="67" t="s">
        <v>301</v>
      </c>
      <c r="M46" s="69">
        <v>1228644.8</v>
      </c>
      <c r="N46" s="69">
        <v>1228644.8</v>
      </c>
      <c r="O46" s="88">
        <v>1228644.8</v>
      </c>
      <c r="P46" s="94">
        <f t="shared" si="1"/>
        <v>1</v>
      </c>
    </row>
    <row r="47" spans="1:16" s="56" customFormat="1" ht="31.5" x14ac:dyDescent="0.2">
      <c r="A47" s="68" t="s">
        <v>474</v>
      </c>
      <c r="B47" s="63">
        <v>14</v>
      </c>
      <c r="C47" s="63">
        <v>1</v>
      </c>
      <c r="D47" s="63">
        <v>29</v>
      </c>
      <c r="E47" s="63">
        <v>814</v>
      </c>
      <c r="F47" s="64" t="s">
        <v>91</v>
      </c>
      <c r="G47" s="64" t="s">
        <v>61</v>
      </c>
      <c r="H47" s="63">
        <v>13830</v>
      </c>
      <c r="I47" s="63">
        <v>461</v>
      </c>
      <c r="J47" s="65" t="s">
        <v>277</v>
      </c>
      <c r="K47" s="67" t="s">
        <v>475</v>
      </c>
      <c r="L47" s="67" t="s">
        <v>301</v>
      </c>
      <c r="M47" s="69">
        <v>1782143.2</v>
      </c>
      <c r="N47" s="69">
        <v>1782143.2</v>
      </c>
      <c r="O47" s="88">
        <v>1782143.2</v>
      </c>
      <c r="P47" s="94">
        <f t="shared" si="1"/>
        <v>1</v>
      </c>
    </row>
    <row r="48" spans="1:16" s="56" customFormat="1" ht="78.75" x14ac:dyDescent="0.2">
      <c r="A48" s="62" t="s">
        <v>476</v>
      </c>
      <c r="B48" s="63">
        <v>14</v>
      </c>
      <c r="C48" s="63">
        <v>1</v>
      </c>
      <c r="D48" s="63">
        <v>29</v>
      </c>
      <c r="E48" s="63">
        <v>814</v>
      </c>
      <c r="F48" s="64" t="s">
        <v>91</v>
      </c>
      <c r="G48" s="64" t="s">
        <v>61</v>
      </c>
      <c r="H48" s="63">
        <v>13830</v>
      </c>
      <c r="I48" s="63">
        <v>461</v>
      </c>
      <c r="J48" s="65"/>
      <c r="K48" s="67"/>
      <c r="L48" s="67"/>
      <c r="M48" s="55">
        <f>SUM(M49:M49)</f>
        <v>1642248</v>
      </c>
      <c r="N48" s="55">
        <f>SUM(N49:N49)</f>
        <v>1642248</v>
      </c>
      <c r="O48" s="87">
        <f>SUM(O49:O49)</f>
        <v>1642248</v>
      </c>
      <c r="P48" s="94">
        <f t="shared" si="1"/>
        <v>1</v>
      </c>
    </row>
    <row r="49" spans="1:16" s="56" customFormat="1" ht="31.5" x14ac:dyDescent="0.2">
      <c r="A49" s="68" t="s">
        <v>477</v>
      </c>
      <c r="B49" s="63">
        <v>14</v>
      </c>
      <c r="C49" s="63">
        <v>1</v>
      </c>
      <c r="D49" s="63">
        <v>29</v>
      </c>
      <c r="E49" s="63">
        <v>814</v>
      </c>
      <c r="F49" s="64" t="s">
        <v>91</v>
      </c>
      <c r="G49" s="64" t="s">
        <v>61</v>
      </c>
      <c r="H49" s="63">
        <v>13830</v>
      </c>
      <c r="I49" s="63">
        <v>461</v>
      </c>
      <c r="J49" s="65" t="s">
        <v>277</v>
      </c>
      <c r="K49" s="67" t="s">
        <v>510</v>
      </c>
      <c r="L49" s="67" t="s">
        <v>301</v>
      </c>
      <c r="M49" s="69">
        <v>1642248</v>
      </c>
      <c r="N49" s="69">
        <v>1642248</v>
      </c>
      <c r="O49" s="88">
        <v>1642248</v>
      </c>
      <c r="P49" s="94">
        <f t="shared" si="1"/>
        <v>1</v>
      </c>
    </row>
    <row r="50" spans="1:16" s="56" customFormat="1" ht="78.75" x14ac:dyDescent="0.2">
      <c r="A50" s="62" t="s">
        <v>478</v>
      </c>
      <c r="B50" s="63">
        <v>14</v>
      </c>
      <c r="C50" s="63">
        <v>1</v>
      </c>
      <c r="D50" s="63">
        <v>29</v>
      </c>
      <c r="E50" s="63">
        <v>814</v>
      </c>
      <c r="F50" s="64" t="s">
        <v>91</v>
      </c>
      <c r="G50" s="64" t="s">
        <v>61</v>
      </c>
      <c r="H50" s="63">
        <v>13830</v>
      </c>
      <c r="I50" s="63">
        <v>461</v>
      </c>
      <c r="J50" s="65"/>
      <c r="K50" s="67"/>
      <c r="L50" s="67"/>
      <c r="M50" s="55">
        <f>SUM(M51:M54)</f>
        <v>6374355.2000000002</v>
      </c>
      <c r="N50" s="55">
        <f>SUM(N51:N54)</f>
        <v>6374355.2000000002</v>
      </c>
      <c r="O50" s="87">
        <f>SUM(O51:O54)</f>
        <v>6374355.2000000002</v>
      </c>
      <c r="P50" s="94">
        <f t="shared" si="1"/>
        <v>1</v>
      </c>
    </row>
    <row r="51" spans="1:16" s="56" customFormat="1" ht="31.5" x14ac:dyDescent="0.2">
      <c r="A51" s="62" t="s">
        <v>479</v>
      </c>
      <c r="B51" s="63">
        <v>14</v>
      </c>
      <c r="C51" s="63">
        <v>1</v>
      </c>
      <c r="D51" s="63">
        <v>29</v>
      </c>
      <c r="E51" s="63">
        <v>814</v>
      </c>
      <c r="F51" s="64" t="s">
        <v>91</v>
      </c>
      <c r="G51" s="64" t="s">
        <v>61</v>
      </c>
      <c r="H51" s="63">
        <v>13830</v>
      </c>
      <c r="I51" s="63">
        <v>461</v>
      </c>
      <c r="J51" s="65" t="s">
        <v>277</v>
      </c>
      <c r="K51" s="67" t="s">
        <v>511</v>
      </c>
      <c r="L51" s="67" t="s">
        <v>301</v>
      </c>
      <c r="M51" s="69">
        <v>1222562.3999999999</v>
      </c>
      <c r="N51" s="69">
        <v>1222562.3999999999</v>
      </c>
      <c r="O51" s="88">
        <v>1222562.3999999999</v>
      </c>
      <c r="P51" s="94">
        <f t="shared" si="1"/>
        <v>1</v>
      </c>
    </row>
    <row r="52" spans="1:16" s="56" customFormat="1" ht="31.5" x14ac:dyDescent="0.2">
      <c r="A52" s="62" t="s">
        <v>480</v>
      </c>
      <c r="B52" s="63">
        <v>14</v>
      </c>
      <c r="C52" s="63">
        <v>1</v>
      </c>
      <c r="D52" s="63">
        <v>29</v>
      </c>
      <c r="E52" s="63">
        <v>814</v>
      </c>
      <c r="F52" s="64" t="s">
        <v>91</v>
      </c>
      <c r="G52" s="64" t="s">
        <v>61</v>
      </c>
      <c r="H52" s="63">
        <v>13830</v>
      </c>
      <c r="I52" s="63">
        <v>461</v>
      </c>
      <c r="J52" s="65" t="s">
        <v>277</v>
      </c>
      <c r="K52" s="67" t="s">
        <v>512</v>
      </c>
      <c r="L52" s="67" t="s">
        <v>301</v>
      </c>
      <c r="M52" s="69">
        <v>1715236.8</v>
      </c>
      <c r="N52" s="69">
        <v>1715236.8</v>
      </c>
      <c r="O52" s="88">
        <v>1715236.8</v>
      </c>
      <c r="P52" s="94">
        <f t="shared" si="1"/>
        <v>1</v>
      </c>
    </row>
    <row r="53" spans="1:16" s="56" customFormat="1" ht="31.5" x14ac:dyDescent="0.2">
      <c r="A53" s="62" t="s">
        <v>480</v>
      </c>
      <c r="B53" s="63">
        <v>14</v>
      </c>
      <c r="C53" s="63">
        <v>1</v>
      </c>
      <c r="D53" s="63">
        <v>29</v>
      </c>
      <c r="E53" s="63">
        <v>814</v>
      </c>
      <c r="F53" s="64" t="s">
        <v>91</v>
      </c>
      <c r="G53" s="64" t="s">
        <v>61</v>
      </c>
      <c r="H53" s="63">
        <v>13830</v>
      </c>
      <c r="I53" s="63">
        <v>461</v>
      </c>
      <c r="J53" s="65" t="s">
        <v>277</v>
      </c>
      <c r="K53" s="67" t="s">
        <v>512</v>
      </c>
      <c r="L53" s="67" t="s">
        <v>301</v>
      </c>
      <c r="M53" s="69">
        <v>1715236.8</v>
      </c>
      <c r="N53" s="69">
        <v>1715236.8</v>
      </c>
      <c r="O53" s="88">
        <v>1715236.8</v>
      </c>
      <c r="P53" s="94">
        <f t="shared" si="1"/>
        <v>1</v>
      </c>
    </row>
    <row r="54" spans="1:16" s="56" customFormat="1" ht="31.5" x14ac:dyDescent="0.2">
      <c r="A54" s="62" t="s">
        <v>480</v>
      </c>
      <c r="B54" s="63">
        <v>14</v>
      </c>
      <c r="C54" s="63">
        <v>1</v>
      </c>
      <c r="D54" s="63">
        <v>29</v>
      </c>
      <c r="E54" s="63">
        <v>814</v>
      </c>
      <c r="F54" s="64" t="s">
        <v>91</v>
      </c>
      <c r="G54" s="64" t="s">
        <v>61</v>
      </c>
      <c r="H54" s="63">
        <v>13830</v>
      </c>
      <c r="I54" s="63">
        <v>461</v>
      </c>
      <c r="J54" s="65" t="s">
        <v>277</v>
      </c>
      <c r="K54" s="67" t="s">
        <v>513</v>
      </c>
      <c r="L54" s="67" t="s">
        <v>301</v>
      </c>
      <c r="M54" s="69">
        <v>1721319.2</v>
      </c>
      <c r="N54" s="69">
        <v>1721319.2</v>
      </c>
      <c r="O54" s="88">
        <v>1721319.2</v>
      </c>
      <c r="P54" s="94">
        <f t="shared" si="1"/>
        <v>1</v>
      </c>
    </row>
    <row r="55" spans="1:16" s="56" customFormat="1" ht="78.75" x14ac:dyDescent="0.2">
      <c r="A55" s="62" t="s">
        <v>481</v>
      </c>
      <c r="B55" s="63">
        <v>14</v>
      </c>
      <c r="C55" s="63">
        <v>1</v>
      </c>
      <c r="D55" s="63">
        <v>29</v>
      </c>
      <c r="E55" s="63">
        <v>814</v>
      </c>
      <c r="F55" s="64" t="s">
        <v>91</v>
      </c>
      <c r="G55" s="64" t="s">
        <v>61</v>
      </c>
      <c r="H55" s="63">
        <v>13830</v>
      </c>
      <c r="I55" s="63">
        <v>461</v>
      </c>
      <c r="J55" s="65"/>
      <c r="K55" s="67"/>
      <c r="L55" s="67"/>
      <c r="M55" s="55">
        <f>SUM(M56:M59)</f>
        <v>6759371.1200000001</v>
      </c>
      <c r="N55" s="55">
        <f>SUM(N56:N59)</f>
        <v>6759371.1200000001</v>
      </c>
      <c r="O55" s="87">
        <f>SUM(O56:O59)</f>
        <v>6759371.1200000001</v>
      </c>
      <c r="P55" s="94">
        <f t="shared" si="1"/>
        <v>1</v>
      </c>
    </row>
    <row r="56" spans="1:16" s="56" customFormat="1" ht="31.5" x14ac:dyDescent="0.2">
      <c r="A56" s="68" t="s">
        <v>482</v>
      </c>
      <c r="B56" s="63">
        <v>14</v>
      </c>
      <c r="C56" s="63">
        <v>1</v>
      </c>
      <c r="D56" s="63">
        <v>29</v>
      </c>
      <c r="E56" s="63">
        <v>814</v>
      </c>
      <c r="F56" s="64" t="s">
        <v>91</v>
      </c>
      <c r="G56" s="64" t="s">
        <v>61</v>
      </c>
      <c r="H56" s="63">
        <v>13830</v>
      </c>
      <c r="I56" s="63">
        <v>461</v>
      </c>
      <c r="J56" s="65" t="s">
        <v>277</v>
      </c>
      <c r="K56" s="67" t="s">
        <v>514</v>
      </c>
      <c r="L56" s="67" t="s">
        <v>301</v>
      </c>
      <c r="M56" s="69">
        <v>1615181.32</v>
      </c>
      <c r="N56" s="69">
        <v>1615181.32</v>
      </c>
      <c r="O56" s="88">
        <v>1615181.32</v>
      </c>
      <c r="P56" s="94">
        <f t="shared" si="1"/>
        <v>1</v>
      </c>
    </row>
    <row r="57" spans="1:16" s="56" customFormat="1" ht="31.5" x14ac:dyDescent="0.2">
      <c r="A57" s="68" t="s">
        <v>482</v>
      </c>
      <c r="B57" s="63">
        <v>14</v>
      </c>
      <c r="C57" s="63">
        <v>1</v>
      </c>
      <c r="D57" s="63">
        <v>29</v>
      </c>
      <c r="E57" s="63">
        <v>814</v>
      </c>
      <c r="F57" s="64" t="s">
        <v>91</v>
      </c>
      <c r="G57" s="64" t="s">
        <v>61</v>
      </c>
      <c r="H57" s="63">
        <v>13830</v>
      </c>
      <c r="I57" s="63">
        <v>461</v>
      </c>
      <c r="J57" s="65" t="s">
        <v>277</v>
      </c>
      <c r="K57" s="67" t="s">
        <v>514</v>
      </c>
      <c r="L57" s="67" t="s">
        <v>301</v>
      </c>
      <c r="M57" s="69">
        <v>1615181.32</v>
      </c>
      <c r="N57" s="69">
        <v>1615181.32</v>
      </c>
      <c r="O57" s="88">
        <v>1615181.32</v>
      </c>
      <c r="P57" s="94">
        <f t="shared" si="1"/>
        <v>1</v>
      </c>
    </row>
    <row r="58" spans="1:16" s="56" customFormat="1" ht="31.5" x14ac:dyDescent="0.2">
      <c r="A58" s="68" t="s">
        <v>482</v>
      </c>
      <c r="B58" s="63">
        <v>14</v>
      </c>
      <c r="C58" s="63">
        <v>1</v>
      </c>
      <c r="D58" s="63">
        <v>29</v>
      </c>
      <c r="E58" s="63">
        <v>814</v>
      </c>
      <c r="F58" s="64" t="s">
        <v>91</v>
      </c>
      <c r="G58" s="64" t="s">
        <v>61</v>
      </c>
      <c r="H58" s="63">
        <v>13830</v>
      </c>
      <c r="I58" s="63">
        <v>461</v>
      </c>
      <c r="J58" s="65" t="s">
        <v>277</v>
      </c>
      <c r="K58" s="67" t="s">
        <v>515</v>
      </c>
      <c r="L58" s="67" t="s">
        <v>301</v>
      </c>
      <c r="M58" s="69">
        <v>1764504.24</v>
      </c>
      <c r="N58" s="69">
        <v>1764504.24</v>
      </c>
      <c r="O58" s="88">
        <v>1764504.24</v>
      </c>
      <c r="P58" s="94">
        <f t="shared" si="1"/>
        <v>1</v>
      </c>
    </row>
    <row r="59" spans="1:16" s="56" customFormat="1" ht="31.5" x14ac:dyDescent="0.2">
      <c r="A59" s="68" t="s">
        <v>482</v>
      </c>
      <c r="B59" s="63">
        <v>14</v>
      </c>
      <c r="C59" s="63">
        <v>1</v>
      </c>
      <c r="D59" s="63">
        <v>29</v>
      </c>
      <c r="E59" s="63">
        <v>814</v>
      </c>
      <c r="F59" s="64" t="s">
        <v>91</v>
      </c>
      <c r="G59" s="64" t="s">
        <v>61</v>
      </c>
      <c r="H59" s="63">
        <v>13830</v>
      </c>
      <c r="I59" s="63">
        <v>461</v>
      </c>
      <c r="J59" s="65" t="s">
        <v>277</v>
      </c>
      <c r="K59" s="67" t="s">
        <v>515</v>
      </c>
      <c r="L59" s="67" t="s">
        <v>301</v>
      </c>
      <c r="M59" s="69">
        <v>1764504.24</v>
      </c>
      <c r="N59" s="69">
        <v>1764504.24</v>
      </c>
      <c r="O59" s="88">
        <v>1764504.24</v>
      </c>
      <c r="P59" s="94">
        <f t="shared" si="1"/>
        <v>1</v>
      </c>
    </row>
    <row r="60" spans="1:16" s="56" customFormat="1" ht="78.75" x14ac:dyDescent="0.2">
      <c r="A60" s="62" t="s">
        <v>483</v>
      </c>
      <c r="B60" s="63">
        <v>14</v>
      </c>
      <c r="C60" s="63">
        <v>1</v>
      </c>
      <c r="D60" s="63">
        <v>29</v>
      </c>
      <c r="E60" s="63">
        <v>814</v>
      </c>
      <c r="F60" s="64" t="s">
        <v>91</v>
      </c>
      <c r="G60" s="64" t="s">
        <v>61</v>
      </c>
      <c r="H60" s="63">
        <v>13830</v>
      </c>
      <c r="I60" s="63">
        <v>461</v>
      </c>
      <c r="J60" s="65"/>
      <c r="K60" s="67"/>
      <c r="L60" s="67"/>
      <c r="M60" s="55">
        <f>SUM(M61:M65)</f>
        <v>8484948</v>
      </c>
      <c r="N60" s="55">
        <f>SUM(N61:N65)</f>
        <v>8484948</v>
      </c>
      <c r="O60" s="87">
        <f>SUM(O61:O65)</f>
        <v>8484948</v>
      </c>
      <c r="P60" s="94">
        <f t="shared" si="1"/>
        <v>1</v>
      </c>
    </row>
    <row r="61" spans="1:16" s="56" customFormat="1" ht="31.5" x14ac:dyDescent="0.2">
      <c r="A61" s="68" t="s">
        <v>484</v>
      </c>
      <c r="B61" s="63">
        <v>14</v>
      </c>
      <c r="C61" s="63">
        <v>1</v>
      </c>
      <c r="D61" s="63">
        <v>29</v>
      </c>
      <c r="E61" s="63">
        <v>814</v>
      </c>
      <c r="F61" s="64" t="s">
        <v>91</v>
      </c>
      <c r="G61" s="64" t="s">
        <v>61</v>
      </c>
      <c r="H61" s="63">
        <v>13830</v>
      </c>
      <c r="I61" s="63">
        <v>461</v>
      </c>
      <c r="J61" s="65" t="s">
        <v>277</v>
      </c>
      <c r="K61" s="67" t="s">
        <v>516</v>
      </c>
      <c r="L61" s="67" t="s">
        <v>301</v>
      </c>
      <c r="M61" s="69">
        <v>1368540</v>
      </c>
      <c r="N61" s="69">
        <v>1368540</v>
      </c>
      <c r="O61" s="88">
        <v>1368540</v>
      </c>
      <c r="P61" s="94">
        <f t="shared" si="1"/>
        <v>1</v>
      </c>
    </row>
    <row r="62" spans="1:16" s="56" customFormat="1" ht="31.5" x14ac:dyDescent="0.2">
      <c r="A62" s="68" t="s">
        <v>484</v>
      </c>
      <c r="B62" s="63">
        <v>14</v>
      </c>
      <c r="C62" s="63">
        <v>1</v>
      </c>
      <c r="D62" s="63">
        <v>29</v>
      </c>
      <c r="E62" s="63">
        <v>814</v>
      </c>
      <c r="F62" s="64" t="s">
        <v>91</v>
      </c>
      <c r="G62" s="64" t="s">
        <v>61</v>
      </c>
      <c r="H62" s="63">
        <v>13830</v>
      </c>
      <c r="I62" s="63">
        <v>461</v>
      </c>
      <c r="J62" s="65" t="s">
        <v>277</v>
      </c>
      <c r="K62" s="67" t="s">
        <v>516</v>
      </c>
      <c r="L62" s="67" t="s">
        <v>301</v>
      </c>
      <c r="M62" s="69">
        <v>1368540</v>
      </c>
      <c r="N62" s="69">
        <v>1368540</v>
      </c>
      <c r="O62" s="88">
        <v>1368540</v>
      </c>
      <c r="P62" s="94">
        <f t="shared" si="1"/>
        <v>1</v>
      </c>
    </row>
    <row r="63" spans="1:16" s="56" customFormat="1" ht="31.5" x14ac:dyDescent="0.2">
      <c r="A63" s="68" t="s">
        <v>485</v>
      </c>
      <c r="B63" s="63">
        <v>14</v>
      </c>
      <c r="C63" s="63">
        <v>1</v>
      </c>
      <c r="D63" s="63">
        <v>29</v>
      </c>
      <c r="E63" s="63">
        <v>814</v>
      </c>
      <c r="F63" s="64" t="s">
        <v>91</v>
      </c>
      <c r="G63" s="64" t="s">
        <v>61</v>
      </c>
      <c r="H63" s="63">
        <v>13830</v>
      </c>
      <c r="I63" s="63">
        <v>461</v>
      </c>
      <c r="J63" s="65" t="s">
        <v>277</v>
      </c>
      <c r="K63" s="67" t="s">
        <v>517</v>
      </c>
      <c r="L63" s="67" t="s">
        <v>301</v>
      </c>
      <c r="M63" s="69">
        <v>1915956</v>
      </c>
      <c r="N63" s="69">
        <v>1915956</v>
      </c>
      <c r="O63" s="88">
        <v>1915956</v>
      </c>
      <c r="P63" s="94">
        <f t="shared" si="1"/>
        <v>1</v>
      </c>
    </row>
    <row r="64" spans="1:16" s="56" customFormat="1" ht="31.5" x14ac:dyDescent="0.2">
      <c r="A64" s="68" t="s">
        <v>485</v>
      </c>
      <c r="B64" s="63">
        <v>14</v>
      </c>
      <c r="C64" s="63">
        <v>1</v>
      </c>
      <c r="D64" s="63">
        <v>29</v>
      </c>
      <c r="E64" s="63">
        <v>814</v>
      </c>
      <c r="F64" s="64" t="s">
        <v>91</v>
      </c>
      <c r="G64" s="64" t="s">
        <v>61</v>
      </c>
      <c r="H64" s="63">
        <v>13830</v>
      </c>
      <c r="I64" s="63">
        <v>461</v>
      </c>
      <c r="J64" s="65" t="s">
        <v>277</v>
      </c>
      <c r="K64" s="67" t="s">
        <v>518</v>
      </c>
      <c r="L64" s="67" t="s">
        <v>301</v>
      </c>
      <c r="M64" s="69">
        <v>1915956</v>
      </c>
      <c r="N64" s="69">
        <v>1915956</v>
      </c>
      <c r="O64" s="88">
        <v>1915956</v>
      </c>
      <c r="P64" s="94">
        <f t="shared" si="1"/>
        <v>1</v>
      </c>
    </row>
    <row r="65" spans="1:16" s="56" customFormat="1" ht="31.5" x14ac:dyDescent="0.2">
      <c r="A65" s="68" t="s">
        <v>485</v>
      </c>
      <c r="B65" s="63">
        <v>14</v>
      </c>
      <c r="C65" s="63">
        <v>1</v>
      </c>
      <c r="D65" s="63">
        <v>29</v>
      </c>
      <c r="E65" s="63">
        <v>814</v>
      </c>
      <c r="F65" s="64" t="s">
        <v>91</v>
      </c>
      <c r="G65" s="64" t="s">
        <v>61</v>
      </c>
      <c r="H65" s="63">
        <v>13830</v>
      </c>
      <c r="I65" s="63">
        <v>461</v>
      </c>
      <c r="J65" s="65" t="s">
        <v>277</v>
      </c>
      <c r="K65" s="67" t="s">
        <v>519</v>
      </c>
      <c r="L65" s="67" t="s">
        <v>301</v>
      </c>
      <c r="M65" s="69">
        <v>1915956</v>
      </c>
      <c r="N65" s="69">
        <v>1915956</v>
      </c>
      <c r="O65" s="88">
        <v>1915956</v>
      </c>
      <c r="P65" s="94">
        <f t="shared" si="1"/>
        <v>1</v>
      </c>
    </row>
    <row r="66" spans="1:16" s="56" customFormat="1" ht="31.5" x14ac:dyDescent="0.2">
      <c r="A66" s="68" t="s">
        <v>445</v>
      </c>
      <c r="B66" s="71" t="s">
        <v>72</v>
      </c>
      <c r="C66" s="71" t="s">
        <v>13</v>
      </c>
      <c r="D66" s="71" t="s">
        <v>439</v>
      </c>
      <c r="E66" s="71" t="s">
        <v>441</v>
      </c>
      <c r="F66" s="71" t="s">
        <v>91</v>
      </c>
      <c r="G66" s="71" t="s">
        <v>61</v>
      </c>
      <c r="H66" s="71" t="s">
        <v>443</v>
      </c>
      <c r="I66" s="71" t="s">
        <v>444</v>
      </c>
      <c r="J66" s="65"/>
      <c r="K66" s="67"/>
      <c r="L66" s="67"/>
      <c r="M66" s="69">
        <v>359593574.28000003</v>
      </c>
      <c r="N66" s="69">
        <v>0</v>
      </c>
      <c r="O66" s="88">
        <v>0</v>
      </c>
      <c r="P66" s="94">
        <f t="shared" si="1"/>
        <v>0</v>
      </c>
    </row>
    <row r="67" spans="1:16" s="56" customFormat="1" ht="78.75" x14ac:dyDescent="0.2">
      <c r="A67" s="51" t="s">
        <v>489</v>
      </c>
      <c r="B67" s="52">
        <v>14</v>
      </c>
      <c r="C67" s="53" t="s">
        <v>13</v>
      </c>
      <c r="D67" s="53" t="s">
        <v>439</v>
      </c>
      <c r="E67" s="53" t="s">
        <v>441</v>
      </c>
      <c r="F67" s="53" t="s">
        <v>91</v>
      </c>
      <c r="G67" s="53" t="s">
        <v>61</v>
      </c>
      <c r="H67" s="53" t="s">
        <v>443</v>
      </c>
      <c r="I67" s="53" t="s">
        <v>446</v>
      </c>
      <c r="J67" s="53" t="s">
        <v>0</v>
      </c>
      <c r="K67" s="53" t="s">
        <v>0</v>
      </c>
      <c r="L67" s="52" t="s">
        <v>0</v>
      </c>
      <c r="M67" s="55">
        <f>M69</f>
        <v>48172608</v>
      </c>
      <c r="N67" s="55">
        <f t="shared" ref="N67:O67" si="7">N69</f>
        <v>0</v>
      </c>
      <c r="O67" s="87">
        <f t="shared" si="7"/>
        <v>0</v>
      </c>
      <c r="P67" s="94">
        <f t="shared" si="1"/>
        <v>0</v>
      </c>
    </row>
    <row r="68" spans="1:16" s="56" customFormat="1" ht="94.5" hidden="1" x14ac:dyDescent="0.2">
      <c r="A68" s="51" t="s">
        <v>494</v>
      </c>
      <c r="B68" s="52">
        <v>14</v>
      </c>
      <c r="C68" s="53" t="s">
        <v>13</v>
      </c>
      <c r="D68" s="53" t="s">
        <v>439</v>
      </c>
      <c r="E68" s="53" t="s">
        <v>441</v>
      </c>
      <c r="F68" s="53" t="s">
        <v>91</v>
      </c>
      <c r="G68" s="53" t="s">
        <v>61</v>
      </c>
      <c r="H68" s="53" t="s">
        <v>443</v>
      </c>
      <c r="I68" s="53" t="s">
        <v>446</v>
      </c>
      <c r="J68" s="53"/>
      <c r="K68" s="53"/>
      <c r="L68" s="52"/>
      <c r="M68" s="55">
        <v>48172608</v>
      </c>
      <c r="N68" s="55">
        <f>N70</f>
        <v>2323476.7999999998</v>
      </c>
      <c r="O68" s="87">
        <f>O70</f>
        <v>2323476.7999999998</v>
      </c>
      <c r="P68" s="94">
        <f t="shared" si="1"/>
        <v>4.8232323232323231E-2</v>
      </c>
    </row>
    <row r="69" spans="1:16" s="56" customFormat="1" ht="31.5" x14ac:dyDescent="0.2">
      <c r="A69" s="68" t="s">
        <v>445</v>
      </c>
      <c r="B69" s="71" t="s">
        <v>72</v>
      </c>
      <c r="C69" s="71" t="s">
        <v>13</v>
      </c>
      <c r="D69" s="71" t="s">
        <v>439</v>
      </c>
      <c r="E69" s="71" t="s">
        <v>441</v>
      </c>
      <c r="F69" s="71" t="s">
        <v>91</v>
      </c>
      <c r="G69" s="71" t="s">
        <v>61</v>
      </c>
      <c r="H69" s="71" t="s">
        <v>443</v>
      </c>
      <c r="I69" s="71" t="s">
        <v>446</v>
      </c>
      <c r="J69" s="65" t="s">
        <v>0</v>
      </c>
      <c r="K69" s="65" t="s">
        <v>0</v>
      </c>
      <c r="L69" s="67" t="s">
        <v>0</v>
      </c>
      <c r="M69" s="69">
        <f>48172608</f>
        <v>48172608</v>
      </c>
      <c r="N69" s="69">
        <v>0</v>
      </c>
      <c r="O69" s="88">
        <v>0</v>
      </c>
      <c r="P69" s="94">
        <f t="shared" si="1"/>
        <v>0</v>
      </c>
    </row>
    <row r="70" spans="1:16" s="56" customFormat="1" ht="15.75" x14ac:dyDescent="0.2">
      <c r="A70" s="58" t="s">
        <v>302</v>
      </c>
      <c r="B70" s="52">
        <v>14</v>
      </c>
      <c r="C70" s="53" t="s">
        <v>13</v>
      </c>
      <c r="D70" s="53" t="s">
        <v>439</v>
      </c>
      <c r="E70" s="53" t="s">
        <v>441</v>
      </c>
      <c r="F70" s="53" t="s">
        <v>91</v>
      </c>
      <c r="G70" s="53" t="s">
        <v>34</v>
      </c>
      <c r="H70" s="53" t="s">
        <v>0</v>
      </c>
      <c r="I70" s="53" t="s">
        <v>0</v>
      </c>
      <c r="J70" s="53" t="s">
        <v>0</v>
      </c>
      <c r="K70" s="53" t="s">
        <v>0</v>
      </c>
      <c r="L70" s="52" t="s">
        <v>0</v>
      </c>
      <c r="M70" s="55">
        <f>M71</f>
        <v>23205876.600000001</v>
      </c>
      <c r="N70" s="55">
        <f t="shared" ref="N70:O70" si="8">N71</f>
        <v>2323476.7999999998</v>
      </c>
      <c r="O70" s="87">
        <f t="shared" si="8"/>
        <v>2323476.7999999998</v>
      </c>
      <c r="P70" s="94">
        <f t="shared" si="1"/>
        <v>0.10012450036039576</v>
      </c>
    </row>
    <row r="71" spans="1:16" s="56" customFormat="1" ht="78.75" x14ac:dyDescent="0.2">
      <c r="A71" s="51" t="s">
        <v>442</v>
      </c>
      <c r="B71" s="52">
        <v>14</v>
      </c>
      <c r="C71" s="53" t="s">
        <v>13</v>
      </c>
      <c r="D71" s="53" t="s">
        <v>439</v>
      </c>
      <c r="E71" s="53" t="s">
        <v>441</v>
      </c>
      <c r="F71" s="53" t="s">
        <v>91</v>
      </c>
      <c r="G71" s="53" t="s">
        <v>34</v>
      </c>
      <c r="H71" s="53" t="s">
        <v>443</v>
      </c>
      <c r="I71" s="54" t="s">
        <v>0</v>
      </c>
      <c r="J71" s="54" t="s">
        <v>0</v>
      </c>
      <c r="K71" s="54" t="s">
        <v>0</v>
      </c>
      <c r="L71" s="72" t="s">
        <v>0</v>
      </c>
      <c r="M71" s="55">
        <f>M74+M76</f>
        <v>23205876.600000001</v>
      </c>
      <c r="N71" s="55">
        <f>N74+N76</f>
        <v>2323476.7999999998</v>
      </c>
      <c r="O71" s="87">
        <f>O74+O76</f>
        <v>2323476.7999999998</v>
      </c>
      <c r="P71" s="94">
        <f t="shared" si="1"/>
        <v>0.10012450036039576</v>
      </c>
    </row>
    <row r="72" spans="1:16" s="56" customFormat="1" ht="189" x14ac:dyDescent="0.2">
      <c r="A72" s="59" t="s">
        <v>493</v>
      </c>
      <c r="B72" s="52">
        <v>14</v>
      </c>
      <c r="C72" s="53" t="s">
        <v>13</v>
      </c>
      <c r="D72" s="53" t="s">
        <v>439</v>
      </c>
      <c r="E72" s="53" t="s">
        <v>441</v>
      </c>
      <c r="F72" s="53" t="s">
        <v>91</v>
      </c>
      <c r="G72" s="53" t="s">
        <v>34</v>
      </c>
      <c r="H72" s="53" t="s">
        <v>443</v>
      </c>
      <c r="I72" s="60">
        <v>460</v>
      </c>
      <c r="J72" s="54"/>
      <c r="K72" s="54"/>
      <c r="L72" s="72"/>
      <c r="M72" s="55">
        <f>M74+M76</f>
        <v>23205876.600000001</v>
      </c>
      <c r="N72" s="55">
        <f t="shared" ref="N72:O72" si="9">N74+N76</f>
        <v>2323476.7999999998</v>
      </c>
      <c r="O72" s="87">
        <f t="shared" si="9"/>
        <v>2323476.7999999998</v>
      </c>
      <c r="P72" s="94">
        <f t="shared" si="1"/>
        <v>0.10012450036039576</v>
      </c>
    </row>
    <row r="73" spans="1:16" s="56" customFormat="1" ht="78.75" x14ac:dyDescent="0.2">
      <c r="A73" s="58" t="s">
        <v>488</v>
      </c>
      <c r="B73" s="52">
        <v>14</v>
      </c>
      <c r="C73" s="53" t="s">
        <v>13</v>
      </c>
      <c r="D73" s="53" t="s">
        <v>439</v>
      </c>
      <c r="E73" s="53" t="s">
        <v>441</v>
      </c>
      <c r="F73" s="53" t="s">
        <v>91</v>
      </c>
      <c r="G73" s="53" t="s">
        <v>34</v>
      </c>
      <c r="H73" s="53" t="s">
        <v>443</v>
      </c>
      <c r="I73" s="53" t="s">
        <v>444</v>
      </c>
      <c r="J73" s="54"/>
      <c r="K73" s="54"/>
      <c r="L73" s="72"/>
      <c r="M73" s="55">
        <f>M74</f>
        <v>4926744</v>
      </c>
      <c r="N73" s="55">
        <f>N74</f>
        <v>0</v>
      </c>
      <c r="O73" s="87">
        <f>O74</f>
        <v>0</v>
      </c>
      <c r="P73" s="94">
        <f t="shared" ref="P73:P99" si="10">O73/M73</f>
        <v>0</v>
      </c>
    </row>
    <row r="74" spans="1:16" s="56" customFormat="1" ht="94.5" hidden="1" x14ac:dyDescent="0.2">
      <c r="A74" s="51" t="s">
        <v>494</v>
      </c>
      <c r="B74" s="52">
        <v>14</v>
      </c>
      <c r="C74" s="53" t="s">
        <v>13</v>
      </c>
      <c r="D74" s="53" t="s">
        <v>439</v>
      </c>
      <c r="E74" s="53" t="s">
        <v>441</v>
      </c>
      <c r="F74" s="53" t="s">
        <v>91</v>
      </c>
      <c r="G74" s="53" t="s">
        <v>34</v>
      </c>
      <c r="H74" s="53" t="s">
        <v>443</v>
      </c>
      <c r="I74" s="53" t="s">
        <v>444</v>
      </c>
      <c r="J74" s="53" t="s">
        <v>0</v>
      </c>
      <c r="K74" s="53" t="s">
        <v>0</v>
      </c>
      <c r="L74" s="52" t="s">
        <v>0</v>
      </c>
      <c r="M74" s="55">
        <v>4926744</v>
      </c>
      <c r="N74" s="55">
        <f>N75</f>
        <v>0</v>
      </c>
      <c r="O74" s="87">
        <f>O75</f>
        <v>0</v>
      </c>
      <c r="P74" s="94">
        <f t="shared" si="10"/>
        <v>0</v>
      </c>
    </row>
    <row r="75" spans="1:16" s="56" customFormat="1" ht="31.5" x14ac:dyDescent="0.2">
      <c r="A75" s="68" t="s">
        <v>445</v>
      </c>
      <c r="B75" s="71" t="s">
        <v>72</v>
      </c>
      <c r="C75" s="71" t="s">
        <v>13</v>
      </c>
      <c r="D75" s="71" t="s">
        <v>439</v>
      </c>
      <c r="E75" s="71" t="s">
        <v>441</v>
      </c>
      <c r="F75" s="71" t="s">
        <v>91</v>
      </c>
      <c r="G75" s="71" t="s">
        <v>34</v>
      </c>
      <c r="H75" s="71" t="s">
        <v>443</v>
      </c>
      <c r="I75" s="71" t="s">
        <v>444</v>
      </c>
      <c r="J75" s="65" t="s">
        <v>0</v>
      </c>
      <c r="K75" s="65" t="s">
        <v>0</v>
      </c>
      <c r="L75" s="67" t="s">
        <v>0</v>
      </c>
      <c r="M75" s="69">
        <f>4926744</f>
        <v>4926744</v>
      </c>
      <c r="N75" s="69">
        <v>0</v>
      </c>
      <c r="O75" s="88">
        <v>0</v>
      </c>
      <c r="P75" s="94">
        <f t="shared" si="10"/>
        <v>0</v>
      </c>
    </row>
    <row r="76" spans="1:16" s="56" customFormat="1" ht="78.75" x14ac:dyDescent="0.2">
      <c r="A76" s="51" t="s">
        <v>489</v>
      </c>
      <c r="B76" s="53" t="s">
        <v>72</v>
      </c>
      <c r="C76" s="53" t="s">
        <v>13</v>
      </c>
      <c r="D76" s="53" t="s">
        <v>439</v>
      </c>
      <c r="E76" s="53" t="s">
        <v>441</v>
      </c>
      <c r="F76" s="53" t="s">
        <v>91</v>
      </c>
      <c r="G76" s="53" t="s">
        <v>34</v>
      </c>
      <c r="H76" s="53" t="s">
        <v>443</v>
      </c>
      <c r="I76" s="53" t="s">
        <v>446</v>
      </c>
      <c r="J76" s="65"/>
      <c r="K76" s="65"/>
      <c r="L76" s="67"/>
      <c r="M76" s="55">
        <f>M78+M81</f>
        <v>18279132.600000001</v>
      </c>
      <c r="N76" s="55">
        <f t="shared" ref="N76:O76" si="11">N78+N81</f>
        <v>2323476.7999999998</v>
      </c>
      <c r="O76" s="87">
        <f t="shared" si="11"/>
        <v>2323476.7999999998</v>
      </c>
      <c r="P76" s="94">
        <f t="shared" si="10"/>
        <v>0.12711088927709838</v>
      </c>
    </row>
    <row r="77" spans="1:16" s="56" customFormat="1" ht="94.5" hidden="1" x14ac:dyDescent="0.2">
      <c r="A77" s="51" t="s">
        <v>494</v>
      </c>
      <c r="B77" s="53" t="s">
        <v>72</v>
      </c>
      <c r="C77" s="53" t="s">
        <v>13</v>
      </c>
      <c r="D77" s="53" t="s">
        <v>439</v>
      </c>
      <c r="E77" s="53" t="s">
        <v>441</v>
      </c>
      <c r="F77" s="53" t="s">
        <v>91</v>
      </c>
      <c r="G77" s="53" t="s">
        <v>34</v>
      </c>
      <c r="H77" s="53" t="s">
        <v>443</v>
      </c>
      <c r="I77" s="53" t="s">
        <v>446</v>
      </c>
      <c r="J77" s="53" t="s">
        <v>0</v>
      </c>
      <c r="K77" s="53" t="s">
        <v>0</v>
      </c>
      <c r="L77" s="52" t="s">
        <v>0</v>
      </c>
      <c r="M77" s="55">
        <v>18279132.600000001</v>
      </c>
      <c r="N77" s="55">
        <f>N81</f>
        <v>0</v>
      </c>
      <c r="O77" s="87">
        <f>O81</f>
        <v>0</v>
      </c>
      <c r="P77" s="94">
        <f t="shared" si="10"/>
        <v>0</v>
      </c>
    </row>
    <row r="78" spans="1:16" s="56" customFormat="1" ht="78.75" x14ac:dyDescent="0.2">
      <c r="A78" s="62" t="s">
        <v>486</v>
      </c>
      <c r="B78" s="63">
        <v>14</v>
      </c>
      <c r="C78" s="63">
        <v>1</v>
      </c>
      <c r="D78" s="63">
        <v>29</v>
      </c>
      <c r="E78" s="63">
        <v>814</v>
      </c>
      <c r="F78" s="64" t="s">
        <v>91</v>
      </c>
      <c r="G78" s="64" t="s">
        <v>34</v>
      </c>
      <c r="H78" s="63">
        <v>13830</v>
      </c>
      <c r="I78" s="63">
        <v>462</v>
      </c>
      <c r="J78" s="53"/>
      <c r="K78" s="53"/>
      <c r="L78" s="52"/>
      <c r="M78" s="55">
        <f>SUM(M79:M80)</f>
        <v>2323476.7999999998</v>
      </c>
      <c r="N78" s="55">
        <f>SUM(N79:N80)</f>
        <v>2323476.7999999998</v>
      </c>
      <c r="O78" s="87">
        <f>SUM(O79:O80)</f>
        <v>2323476.7999999998</v>
      </c>
      <c r="P78" s="94">
        <f t="shared" si="10"/>
        <v>1</v>
      </c>
    </row>
    <row r="79" spans="1:16" s="56" customFormat="1" ht="31.5" x14ac:dyDescent="0.2">
      <c r="A79" s="68" t="s">
        <v>487</v>
      </c>
      <c r="B79" s="63">
        <v>14</v>
      </c>
      <c r="C79" s="63">
        <v>1</v>
      </c>
      <c r="D79" s="63">
        <v>29</v>
      </c>
      <c r="E79" s="63">
        <v>814</v>
      </c>
      <c r="F79" s="64" t="s">
        <v>91</v>
      </c>
      <c r="G79" s="64" t="s">
        <v>34</v>
      </c>
      <c r="H79" s="63">
        <v>13830</v>
      </c>
      <c r="I79" s="63">
        <v>462</v>
      </c>
      <c r="J79" s="67" t="s">
        <v>292</v>
      </c>
      <c r="K79" s="67" t="s">
        <v>520</v>
      </c>
      <c r="L79" s="67">
        <v>2018</v>
      </c>
      <c r="M79" s="69">
        <v>1106996.8</v>
      </c>
      <c r="N79" s="69">
        <v>1106996.8</v>
      </c>
      <c r="O79" s="88">
        <v>1106996.8</v>
      </c>
      <c r="P79" s="94">
        <f t="shared" si="10"/>
        <v>1</v>
      </c>
    </row>
    <row r="80" spans="1:16" s="56" customFormat="1" ht="31.5" x14ac:dyDescent="0.2">
      <c r="A80" s="68" t="s">
        <v>487</v>
      </c>
      <c r="B80" s="63">
        <v>14</v>
      </c>
      <c r="C80" s="63">
        <v>1</v>
      </c>
      <c r="D80" s="63">
        <v>29</v>
      </c>
      <c r="E80" s="63">
        <v>814</v>
      </c>
      <c r="F80" s="64" t="s">
        <v>91</v>
      </c>
      <c r="G80" s="64" t="s">
        <v>34</v>
      </c>
      <c r="H80" s="63">
        <v>13830</v>
      </c>
      <c r="I80" s="63">
        <v>462</v>
      </c>
      <c r="J80" s="67" t="s">
        <v>292</v>
      </c>
      <c r="K80" s="67" t="s">
        <v>508</v>
      </c>
      <c r="L80" s="67" t="s">
        <v>301</v>
      </c>
      <c r="M80" s="69">
        <v>1216480</v>
      </c>
      <c r="N80" s="69">
        <v>1216480</v>
      </c>
      <c r="O80" s="88">
        <v>1216480</v>
      </c>
      <c r="P80" s="94">
        <f t="shared" si="10"/>
        <v>1</v>
      </c>
    </row>
    <row r="81" spans="1:16" s="56" customFormat="1" ht="31.5" x14ac:dyDescent="0.2">
      <c r="A81" s="68" t="s">
        <v>445</v>
      </c>
      <c r="B81" s="71" t="s">
        <v>72</v>
      </c>
      <c r="C81" s="71" t="s">
        <v>13</v>
      </c>
      <c r="D81" s="71" t="s">
        <v>439</v>
      </c>
      <c r="E81" s="71" t="s">
        <v>441</v>
      </c>
      <c r="F81" s="71" t="s">
        <v>91</v>
      </c>
      <c r="G81" s="71" t="s">
        <v>34</v>
      </c>
      <c r="H81" s="71" t="s">
        <v>443</v>
      </c>
      <c r="I81" s="71" t="s">
        <v>446</v>
      </c>
      <c r="J81" s="65" t="s">
        <v>0</v>
      </c>
      <c r="K81" s="65" t="s">
        <v>0</v>
      </c>
      <c r="L81" s="67" t="s">
        <v>0</v>
      </c>
      <c r="M81" s="69">
        <f>18279132.6-M78</f>
        <v>15955655.800000001</v>
      </c>
      <c r="N81" s="69">
        <v>0</v>
      </c>
      <c r="O81" s="88">
        <v>0</v>
      </c>
      <c r="P81" s="94">
        <f t="shared" si="10"/>
        <v>0</v>
      </c>
    </row>
    <row r="82" spans="1:16" s="56" customFormat="1" ht="15.75" x14ac:dyDescent="0.2">
      <c r="A82" s="58" t="s">
        <v>447</v>
      </c>
      <c r="B82" s="52">
        <v>14</v>
      </c>
      <c r="C82" s="53" t="s">
        <v>13</v>
      </c>
      <c r="D82" s="53" t="s">
        <v>439</v>
      </c>
      <c r="E82" s="53" t="s">
        <v>441</v>
      </c>
      <c r="F82" s="53" t="s">
        <v>91</v>
      </c>
      <c r="G82" s="53" t="s">
        <v>85</v>
      </c>
      <c r="H82" s="53" t="s">
        <v>0</v>
      </c>
      <c r="I82" s="53" t="s">
        <v>0</v>
      </c>
      <c r="J82" s="53" t="s">
        <v>0</v>
      </c>
      <c r="K82" s="53" t="s">
        <v>0</v>
      </c>
      <c r="L82" s="52" t="s">
        <v>0</v>
      </c>
      <c r="M82" s="55">
        <f>M83</f>
        <v>2189664</v>
      </c>
      <c r="N82" s="55">
        <f t="shared" ref="N82:O82" si="12">N83</f>
        <v>0</v>
      </c>
      <c r="O82" s="87">
        <f t="shared" si="12"/>
        <v>0</v>
      </c>
      <c r="P82" s="94">
        <f t="shared" si="10"/>
        <v>0</v>
      </c>
    </row>
    <row r="83" spans="1:16" s="56" customFormat="1" ht="78.75" x14ac:dyDescent="0.2">
      <c r="A83" s="51" t="s">
        <v>442</v>
      </c>
      <c r="B83" s="52">
        <v>14</v>
      </c>
      <c r="C83" s="53" t="s">
        <v>13</v>
      </c>
      <c r="D83" s="53" t="s">
        <v>439</v>
      </c>
      <c r="E83" s="53" t="s">
        <v>441</v>
      </c>
      <c r="F83" s="53" t="s">
        <v>91</v>
      </c>
      <c r="G83" s="53" t="s">
        <v>85</v>
      </c>
      <c r="H83" s="53" t="s">
        <v>443</v>
      </c>
      <c r="I83" s="54" t="s">
        <v>0</v>
      </c>
      <c r="J83" s="54" t="s">
        <v>0</v>
      </c>
      <c r="K83" s="54" t="s">
        <v>0</v>
      </c>
      <c r="L83" s="72" t="s">
        <v>0</v>
      </c>
      <c r="M83" s="55">
        <f>M84</f>
        <v>2189664</v>
      </c>
      <c r="N83" s="55">
        <f t="shared" ref="N83:O84" si="13">N84</f>
        <v>0</v>
      </c>
      <c r="O83" s="87">
        <f t="shared" si="13"/>
        <v>0</v>
      </c>
      <c r="P83" s="94">
        <f t="shared" si="10"/>
        <v>0</v>
      </c>
    </row>
    <row r="84" spans="1:16" s="56" customFormat="1" ht="189" x14ac:dyDescent="0.2">
      <c r="A84" s="59" t="s">
        <v>493</v>
      </c>
      <c r="B84" s="52">
        <v>14</v>
      </c>
      <c r="C84" s="53" t="s">
        <v>13</v>
      </c>
      <c r="D84" s="53" t="s">
        <v>439</v>
      </c>
      <c r="E84" s="53" t="s">
        <v>441</v>
      </c>
      <c r="F84" s="53" t="s">
        <v>91</v>
      </c>
      <c r="G84" s="53" t="s">
        <v>85</v>
      </c>
      <c r="H84" s="53" t="s">
        <v>443</v>
      </c>
      <c r="I84" s="73">
        <v>460</v>
      </c>
      <c r="J84" s="54"/>
      <c r="K84" s="54"/>
      <c r="L84" s="72"/>
      <c r="M84" s="55">
        <f>M86</f>
        <v>2189664</v>
      </c>
      <c r="N84" s="55">
        <f t="shared" si="13"/>
        <v>0</v>
      </c>
      <c r="O84" s="87">
        <f t="shared" si="13"/>
        <v>0</v>
      </c>
      <c r="P84" s="94">
        <f t="shared" si="10"/>
        <v>0</v>
      </c>
    </row>
    <row r="85" spans="1:16" s="56" customFormat="1" ht="78.75" x14ac:dyDescent="0.2">
      <c r="A85" s="51" t="s">
        <v>489</v>
      </c>
      <c r="B85" s="52">
        <v>14</v>
      </c>
      <c r="C85" s="53" t="s">
        <v>13</v>
      </c>
      <c r="D85" s="53" t="s">
        <v>439</v>
      </c>
      <c r="E85" s="53" t="s">
        <v>441</v>
      </c>
      <c r="F85" s="53" t="s">
        <v>91</v>
      </c>
      <c r="G85" s="53" t="s">
        <v>85</v>
      </c>
      <c r="H85" s="53" t="s">
        <v>443</v>
      </c>
      <c r="I85" s="53" t="s">
        <v>446</v>
      </c>
      <c r="J85" s="54"/>
      <c r="K85" s="54"/>
      <c r="L85" s="72"/>
      <c r="M85" s="55">
        <f>M86</f>
        <v>2189664</v>
      </c>
      <c r="N85" s="55">
        <f>N87</f>
        <v>0</v>
      </c>
      <c r="O85" s="87">
        <f>O87</f>
        <v>0</v>
      </c>
      <c r="P85" s="94">
        <f t="shared" si="10"/>
        <v>0</v>
      </c>
    </row>
    <row r="86" spans="1:16" s="56" customFormat="1" ht="94.5" hidden="1" x14ac:dyDescent="0.2">
      <c r="A86" s="51" t="s">
        <v>494</v>
      </c>
      <c r="B86" s="52">
        <v>14</v>
      </c>
      <c r="C86" s="53" t="s">
        <v>13</v>
      </c>
      <c r="D86" s="53" t="s">
        <v>439</v>
      </c>
      <c r="E86" s="53" t="s">
        <v>441</v>
      </c>
      <c r="F86" s="53" t="s">
        <v>91</v>
      </c>
      <c r="G86" s="53" t="s">
        <v>85</v>
      </c>
      <c r="H86" s="53" t="s">
        <v>443</v>
      </c>
      <c r="I86" s="53" t="s">
        <v>446</v>
      </c>
      <c r="J86" s="53" t="s">
        <v>0</v>
      </c>
      <c r="K86" s="53" t="s">
        <v>0</v>
      </c>
      <c r="L86" s="52" t="s">
        <v>0</v>
      </c>
      <c r="M86" s="55">
        <v>2189664</v>
      </c>
      <c r="N86" s="55" t="e">
        <f>#REF!</f>
        <v>#REF!</v>
      </c>
      <c r="O86" s="87" t="e">
        <f>#REF!</f>
        <v>#REF!</v>
      </c>
      <c r="P86" s="94" t="e">
        <f t="shared" si="10"/>
        <v>#REF!</v>
      </c>
    </row>
    <row r="87" spans="1:16" s="56" customFormat="1" ht="31.5" x14ac:dyDescent="0.2">
      <c r="A87" s="68" t="s">
        <v>445</v>
      </c>
      <c r="B87" s="71" t="s">
        <v>72</v>
      </c>
      <c r="C87" s="71" t="s">
        <v>13</v>
      </c>
      <c r="D87" s="71" t="s">
        <v>439</v>
      </c>
      <c r="E87" s="71" t="s">
        <v>441</v>
      </c>
      <c r="F87" s="71" t="s">
        <v>91</v>
      </c>
      <c r="G87" s="71" t="s">
        <v>85</v>
      </c>
      <c r="H87" s="71" t="s">
        <v>443</v>
      </c>
      <c r="I87" s="71" t="s">
        <v>446</v>
      </c>
      <c r="J87" s="65" t="s">
        <v>0</v>
      </c>
      <c r="K87" s="65" t="s">
        <v>0</v>
      </c>
      <c r="L87" s="67" t="s">
        <v>0</v>
      </c>
      <c r="M87" s="69">
        <f>2189664</f>
        <v>2189664</v>
      </c>
      <c r="N87" s="69">
        <v>0</v>
      </c>
      <c r="O87" s="88">
        <v>0</v>
      </c>
      <c r="P87" s="94">
        <f t="shared" si="10"/>
        <v>0</v>
      </c>
    </row>
    <row r="88" spans="1:16" s="56" customFormat="1" ht="31.5" x14ac:dyDescent="0.2">
      <c r="A88" s="58" t="s">
        <v>267</v>
      </c>
      <c r="B88" s="52">
        <v>14</v>
      </c>
      <c r="C88" s="53" t="s">
        <v>13</v>
      </c>
      <c r="D88" s="53" t="s">
        <v>439</v>
      </c>
      <c r="E88" s="53" t="s">
        <v>441</v>
      </c>
      <c r="F88" s="53" t="s">
        <v>91</v>
      </c>
      <c r="G88" s="53" t="s">
        <v>32</v>
      </c>
      <c r="H88" s="53" t="s">
        <v>0</v>
      </c>
      <c r="I88" s="53" t="s">
        <v>0</v>
      </c>
      <c r="J88" s="53" t="s">
        <v>0</v>
      </c>
      <c r="K88" s="53" t="s">
        <v>0</v>
      </c>
      <c r="L88" s="52" t="s">
        <v>0</v>
      </c>
      <c r="M88" s="55">
        <f>M89</f>
        <v>5291688</v>
      </c>
      <c r="N88" s="55">
        <f>N89</f>
        <v>0</v>
      </c>
      <c r="O88" s="87">
        <f>O89</f>
        <v>0</v>
      </c>
      <c r="P88" s="94">
        <f t="shared" si="10"/>
        <v>0</v>
      </c>
    </row>
    <row r="89" spans="1:16" s="56" customFormat="1" ht="78.75" x14ac:dyDescent="0.2">
      <c r="A89" s="51" t="s">
        <v>442</v>
      </c>
      <c r="B89" s="52">
        <v>14</v>
      </c>
      <c r="C89" s="53" t="s">
        <v>13</v>
      </c>
      <c r="D89" s="53" t="s">
        <v>439</v>
      </c>
      <c r="E89" s="53" t="s">
        <v>441</v>
      </c>
      <c r="F89" s="53" t="s">
        <v>91</v>
      </c>
      <c r="G89" s="53" t="s">
        <v>32</v>
      </c>
      <c r="H89" s="53" t="s">
        <v>443</v>
      </c>
      <c r="I89" s="54" t="s">
        <v>0</v>
      </c>
      <c r="J89" s="54" t="s">
        <v>0</v>
      </c>
      <c r="K89" s="54" t="s">
        <v>0</v>
      </c>
      <c r="L89" s="72" t="s">
        <v>0</v>
      </c>
      <c r="M89" s="55">
        <f>M92</f>
        <v>5291688</v>
      </c>
      <c r="N89" s="55">
        <f>N92</f>
        <v>0</v>
      </c>
      <c r="O89" s="87">
        <f>O92</f>
        <v>0</v>
      </c>
      <c r="P89" s="94">
        <f t="shared" si="10"/>
        <v>0</v>
      </c>
    </row>
    <row r="90" spans="1:16" s="56" customFormat="1" ht="189" x14ac:dyDescent="0.2">
      <c r="A90" s="59" t="s">
        <v>493</v>
      </c>
      <c r="B90" s="52">
        <v>14</v>
      </c>
      <c r="C90" s="53" t="s">
        <v>13</v>
      </c>
      <c r="D90" s="53" t="s">
        <v>439</v>
      </c>
      <c r="E90" s="53" t="s">
        <v>441</v>
      </c>
      <c r="F90" s="53" t="s">
        <v>91</v>
      </c>
      <c r="G90" s="53" t="s">
        <v>32</v>
      </c>
      <c r="H90" s="53" t="s">
        <v>443</v>
      </c>
      <c r="I90" s="73">
        <v>460</v>
      </c>
      <c r="J90" s="54"/>
      <c r="K90" s="54"/>
      <c r="L90" s="72"/>
      <c r="M90" s="55">
        <f>M92</f>
        <v>5291688</v>
      </c>
      <c r="N90" s="55">
        <f>N92</f>
        <v>0</v>
      </c>
      <c r="O90" s="87">
        <f>O92</f>
        <v>0</v>
      </c>
      <c r="P90" s="94">
        <f t="shared" si="10"/>
        <v>0</v>
      </c>
    </row>
    <row r="91" spans="1:16" s="56" customFormat="1" ht="78.75" x14ac:dyDescent="0.2">
      <c r="A91" s="51" t="s">
        <v>489</v>
      </c>
      <c r="B91" s="52">
        <v>14</v>
      </c>
      <c r="C91" s="53" t="s">
        <v>13</v>
      </c>
      <c r="D91" s="53" t="s">
        <v>439</v>
      </c>
      <c r="E91" s="53" t="s">
        <v>441</v>
      </c>
      <c r="F91" s="53" t="s">
        <v>91</v>
      </c>
      <c r="G91" s="53" t="s">
        <v>32</v>
      </c>
      <c r="H91" s="53" t="s">
        <v>443</v>
      </c>
      <c r="I91" s="53" t="s">
        <v>446</v>
      </c>
      <c r="J91" s="54"/>
      <c r="K91" s="54"/>
      <c r="L91" s="72"/>
      <c r="M91" s="55">
        <f t="shared" ref="M91:O92" si="14">M92</f>
        <v>5291688</v>
      </c>
      <c r="N91" s="55">
        <f t="shared" si="14"/>
        <v>0</v>
      </c>
      <c r="O91" s="87">
        <f t="shared" si="14"/>
        <v>0</v>
      </c>
      <c r="P91" s="94">
        <f t="shared" si="10"/>
        <v>0</v>
      </c>
    </row>
    <row r="92" spans="1:16" s="56" customFormat="1" ht="94.5" hidden="1" x14ac:dyDescent="0.2">
      <c r="A92" s="51" t="s">
        <v>494</v>
      </c>
      <c r="B92" s="52">
        <v>14</v>
      </c>
      <c r="C92" s="53" t="s">
        <v>13</v>
      </c>
      <c r="D92" s="53" t="s">
        <v>439</v>
      </c>
      <c r="E92" s="53" t="s">
        <v>441</v>
      </c>
      <c r="F92" s="53" t="s">
        <v>91</v>
      </c>
      <c r="G92" s="53" t="s">
        <v>32</v>
      </c>
      <c r="H92" s="53" t="s">
        <v>443</v>
      </c>
      <c r="I92" s="53" t="s">
        <v>446</v>
      </c>
      <c r="J92" s="53" t="s">
        <v>0</v>
      </c>
      <c r="K92" s="53" t="s">
        <v>0</v>
      </c>
      <c r="L92" s="52" t="s">
        <v>0</v>
      </c>
      <c r="M92" s="55">
        <f t="shared" si="14"/>
        <v>5291688</v>
      </c>
      <c r="N92" s="55">
        <f t="shared" si="14"/>
        <v>0</v>
      </c>
      <c r="O92" s="87">
        <f t="shared" si="14"/>
        <v>0</v>
      </c>
      <c r="P92" s="94">
        <f t="shared" si="10"/>
        <v>0</v>
      </c>
    </row>
    <row r="93" spans="1:16" s="56" customFormat="1" ht="31.5" x14ac:dyDescent="0.2">
      <c r="A93" s="68" t="s">
        <v>445</v>
      </c>
      <c r="B93" s="71" t="s">
        <v>72</v>
      </c>
      <c r="C93" s="71" t="s">
        <v>13</v>
      </c>
      <c r="D93" s="71" t="s">
        <v>439</v>
      </c>
      <c r="E93" s="71" t="s">
        <v>441</v>
      </c>
      <c r="F93" s="71" t="s">
        <v>91</v>
      </c>
      <c r="G93" s="71" t="s">
        <v>32</v>
      </c>
      <c r="H93" s="71" t="s">
        <v>443</v>
      </c>
      <c r="I93" s="71" t="s">
        <v>446</v>
      </c>
      <c r="J93" s="65" t="s">
        <v>0</v>
      </c>
      <c r="K93" s="65" t="s">
        <v>0</v>
      </c>
      <c r="L93" s="67" t="s">
        <v>0</v>
      </c>
      <c r="M93" s="69">
        <v>5291688</v>
      </c>
      <c r="N93" s="69">
        <v>0</v>
      </c>
      <c r="O93" s="88">
        <v>0</v>
      </c>
      <c r="P93" s="94">
        <f t="shared" si="10"/>
        <v>0</v>
      </c>
    </row>
    <row r="94" spans="1:16" s="56" customFormat="1" ht="31.5" hidden="1" x14ac:dyDescent="0.2">
      <c r="A94" s="58" t="s">
        <v>448</v>
      </c>
      <c r="B94" s="52">
        <v>14</v>
      </c>
      <c r="C94" s="53" t="s">
        <v>13</v>
      </c>
      <c r="D94" s="53" t="s">
        <v>439</v>
      </c>
      <c r="E94" s="53" t="s">
        <v>441</v>
      </c>
      <c r="F94" s="53" t="s">
        <v>91</v>
      </c>
      <c r="G94" s="52" t="s">
        <v>91</v>
      </c>
      <c r="H94" s="53" t="s">
        <v>0</v>
      </c>
      <c r="I94" s="53" t="s">
        <v>0</v>
      </c>
      <c r="J94" s="53" t="s">
        <v>0</v>
      </c>
      <c r="K94" s="53" t="s">
        <v>0</v>
      </c>
      <c r="L94" s="52" t="s">
        <v>0</v>
      </c>
      <c r="M94" s="55">
        <f>M95</f>
        <v>0</v>
      </c>
      <c r="N94" s="55">
        <f>N95</f>
        <v>0</v>
      </c>
      <c r="O94" s="87">
        <f>O95</f>
        <v>0</v>
      </c>
      <c r="P94" s="94" t="e">
        <f t="shared" si="10"/>
        <v>#DIV/0!</v>
      </c>
    </row>
    <row r="95" spans="1:16" s="56" customFormat="1" ht="78.75" hidden="1" x14ac:dyDescent="0.2">
      <c r="A95" s="51" t="s">
        <v>442</v>
      </c>
      <c r="B95" s="52">
        <v>14</v>
      </c>
      <c r="C95" s="53" t="s">
        <v>13</v>
      </c>
      <c r="D95" s="53" t="s">
        <v>439</v>
      </c>
      <c r="E95" s="53" t="s">
        <v>441</v>
      </c>
      <c r="F95" s="53" t="s">
        <v>91</v>
      </c>
      <c r="G95" s="52" t="s">
        <v>91</v>
      </c>
      <c r="H95" s="53" t="s">
        <v>443</v>
      </c>
      <c r="I95" s="54" t="s">
        <v>0</v>
      </c>
      <c r="J95" s="54" t="s">
        <v>0</v>
      </c>
      <c r="K95" s="54" t="s">
        <v>0</v>
      </c>
      <c r="L95" s="72" t="s">
        <v>0</v>
      </c>
      <c r="M95" s="55">
        <f>M98</f>
        <v>0</v>
      </c>
      <c r="N95" s="55">
        <f>N98</f>
        <v>0</v>
      </c>
      <c r="O95" s="87">
        <f>O98</f>
        <v>0</v>
      </c>
      <c r="P95" s="94" t="e">
        <f t="shared" si="10"/>
        <v>#DIV/0!</v>
      </c>
    </row>
    <row r="96" spans="1:16" s="56" customFormat="1" ht="189" hidden="1" x14ac:dyDescent="0.2">
      <c r="A96" s="59" t="s">
        <v>493</v>
      </c>
      <c r="B96" s="52">
        <v>14</v>
      </c>
      <c r="C96" s="53" t="s">
        <v>13</v>
      </c>
      <c r="D96" s="53" t="s">
        <v>439</v>
      </c>
      <c r="E96" s="53" t="s">
        <v>441</v>
      </c>
      <c r="F96" s="53" t="s">
        <v>91</v>
      </c>
      <c r="G96" s="52" t="s">
        <v>91</v>
      </c>
      <c r="H96" s="53" t="s">
        <v>443</v>
      </c>
      <c r="I96" s="52" t="s">
        <v>495</v>
      </c>
      <c r="J96" s="54"/>
      <c r="K96" s="54"/>
      <c r="L96" s="72"/>
      <c r="M96" s="55">
        <f>M98</f>
        <v>0</v>
      </c>
      <c r="N96" s="55">
        <f>N98</f>
        <v>0</v>
      </c>
      <c r="O96" s="87">
        <f>O98</f>
        <v>0</v>
      </c>
      <c r="P96" s="94" t="e">
        <f t="shared" si="10"/>
        <v>#DIV/0!</v>
      </c>
    </row>
    <row r="97" spans="1:16" s="56" customFormat="1" ht="78.75" hidden="1" x14ac:dyDescent="0.2">
      <c r="A97" s="58" t="s">
        <v>488</v>
      </c>
      <c r="B97" s="52">
        <v>14</v>
      </c>
      <c r="C97" s="53" t="s">
        <v>13</v>
      </c>
      <c r="D97" s="53" t="s">
        <v>439</v>
      </c>
      <c r="E97" s="53" t="s">
        <v>441</v>
      </c>
      <c r="F97" s="53" t="s">
        <v>91</v>
      </c>
      <c r="G97" s="52" t="s">
        <v>91</v>
      </c>
      <c r="H97" s="53" t="s">
        <v>443</v>
      </c>
      <c r="I97" s="52" t="s">
        <v>444</v>
      </c>
      <c r="J97" s="54"/>
      <c r="K97" s="54"/>
      <c r="L97" s="72"/>
      <c r="M97" s="55">
        <f>M101</f>
        <v>0</v>
      </c>
      <c r="N97" s="55">
        <f>N98</f>
        <v>0</v>
      </c>
      <c r="O97" s="87">
        <f>O98</f>
        <v>0</v>
      </c>
      <c r="P97" s="94" t="e">
        <f t="shared" si="10"/>
        <v>#DIV/0!</v>
      </c>
    </row>
    <row r="98" spans="1:16" s="56" customFormat="1" ht="94.5" hidden="1" x14ac:dyDescent="0.2">
      <c r="A98" s="51" t="s">
        <v>494</v>
      </c>
      <c r="B98" s="52">
        <v>14</v>
      </c>
      <c r="C98" s="53" t="s">
        <v>13</v>
      </c>
      <c r="D98" s="53" t="s">
        <v>439</v>
      </c>
      <c r="E98" s="53" t="s">
        <v>441</v>
      </c>
      <c r="F98" s="53" t="s">
        <v>91</v>
      </c>
      <c r="G98" s="52" t="s">
        <v>91</v>
      </c>
      <c r="H98" s="53" t="s">
        <v>443</v>
      </c>
      <c r="I98" s="52" t="s">
        <v>444</v>
      </c>
      <c r="J98" s="53" t="s">
        <v>0</v>
      </c>
      <c r="K98" s="53" t="s">
        <v>0</v>
      </c>
      <c r="L98" s="52" t="s">
        <v>0</v>
      </c>
      <c r="M98" s="55">
        <f>M99</f>
        <v>0</v>
      </c>
      <c r="N98" s="55">
        <f>N99</f>
        <v>0</v>
      </c>
      <c r="O98" s="87">
        <f>O99</f>
        <v>0</v>
      </c>
      <c r="P98" s="94" t="e">
        <f t="shared" si="10"/>
        <v>#DIV/0!</v>
      </c>
    </row>
    <row r="99" spans="1:16" s="56" customFormat="1" ht="31.5" hidden="1" x14ac:dyDescent="0.2">
      <c r="A99" s="68" t="s">
        <v>445</v>
      </c>
      <c r="B99" s="71" t="s">
        <v>72</v>
      </c>
      <c r="C99" s="71" t="s">
        <v>13</v>
      </c>
      <c r="D99" s="71" t="s">
        <v>439</v>
      </c>
      <c r="E99" s="71" t="s">
        <v>441</v>
      </c>
      <c r="F99" s="71" t="s">
        <v>91</v>
      </c>
      <c r="G99" s="64" t="s">
        <v>91</v>
      </c>
      <c r="H99" s="71" t="s">
        <v>443</v>
      </c>
      <c r="I99" s="64">
        <v>461</v>
      </c>
      <c r="J99" s="65" t="s">
        <v>0</v>
      </c>
      <c r="K99" s="65" t="s">
        <v>0</v>
      </c>
      <c r="L99" s="65" t="s">
        <v>0</v>
      </c>
      <c r="M99" s="69">
        <v>0</v>
      </c>
      <c r="N99" s="69">
        <v>0</v>
      </c>
      <c r="O99" s="88">
        <v>0</v>
      </c>
      <c r="P99" s="94" t="e">
        <f t="shared" si="10"/>
        <v>#DIV/0!</v>
      </c>
    </row>
    <row r="100" spans="1:16" s="56" customFormat="1" ht="132.75" customHeight="1" x14ac:dyDescent="0.2">
      <c r="A100" s="173" t="s">
        <v>536</v>
      </c>
      <c r="B100" s="169"/>
      <c r="C100" s="169"/>
      <c r="D100" s="169"/>
      <c r="E100" s="169"/>
      <c r="F100" s="169"/>
      <c r="G100" s="170"/>
      <c r="H100" s="169"/>
      <c r="I100" s="170"/>
      <c r="J100" s="171"/>
      <c r="K100" s="171"/>
      <c r="L100" s="171"/>
      <c r="M100" s="172"/>
      <c r="N100" s="172"/>
      <c r="O100" s="172"/>
      <c r="P100" s="174" t="s">
        <v>537</v>
      </c>
    </row>
    <row r="101" spans="1:16" s="56" customFormat="1" ht="204" customHeight="1" x14ac:dyDescent="0.25">
      <c r="A101" s="154" t="s">
        <v>535</v>
      </c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93"/>
      <c r="O101" s="93"/>
    </row>
    <row r="102" spans="1:16" s="56" customFormat="1" ht="52.35" customHeight="1" x14ac:dyDescent="0.2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93"/>
      <c r="O102" s="93"/>
    </row>
    <row r="103" spans="1:16" ht="45.75" customHeight="1" x14ac:dyDescent="0.2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93"/>
      <c r="O103" s="93"/>
    </row>
    <row r="104" spans="1:16" ht="44.25" customHeight="1" x14ac:dyDescent="0.2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93"/>
      <c r="O104" s="93"/>
    </row>
    <row r="105" spans="1:16" ht="61.5" customHeight="1" x14ac:dyDescent="0.2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93"/>
      <c r="O105" s="93"/>
    </row>
    <row r="106" spans="1:16" ht="37.5" customHeight="1" x14ac:dyDescent="0.2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93"/>
      <c r="O106" s="93"/>
    </row>
    <row r="107" spans="1:16" ht="15" customHeight="1" x14ac:dyDescent="0.2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93"/>
      <c r="O107" s="93"/>
    </row>
    <row r="108" spans="1:16" ht="15" customHeight="1" x14ac:dyDescent="0.2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93"/>
      <c r="O108" s="93"/>
    </row>
    <row r="109" spans="1:16" ht="47.25" customHeight="1" x14ac:dyDescent="0.2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93"/>
      <c r="O109" s="93"/>
    </row>
    <row r="110" spans="1:16" ht="51" customHeight="1" x14ac:dyDescent="0.2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93"/>
      <c r="O110" s="93"/>
    </row>
    <row r="111" spans="1:16" ht="36" customHeight="1" x14ac:dyDescent="0.2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93"/>
      <c r="O111" s="93"/>
    </row>
    <row r="112" spans="1:16" ht="51.75" customHeight="1" x14ac:dyDescent="0.2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93"/>
      <c r="O112" s="93"/>
    </row>
    <row r="113" spans="14:15" s="74" customFormat="1" ht="15.75" x14ac:dyDescent="0.2">
      <c r="N113" s="93"/>
      <c r="O113" s="93"/>
    </row>
    <row r="114" spans="14:15" s="74" customFormat="1" ht="15.75" x14ac:dyDescent="0.2">
      <c r="N114" s="93"/>
      <c r="O114" s="93"/>
    </row>
    <row r="115" spans="14:15" s="74" customFormat="1" ht="15.75" x14ac:dyDescent="0.2">
      <c r="N115" s="93"/>
      <c r="O115" s="93"/>
    </row>
    <row r="116" spans="14:15" s="74" customFormat="1" ht="15.75" x14ac:dyDescent="0.2">
      <c r="N116" s="93"/>
      <c r="O116" s="93"/>
    </row>
    <row r="117" spans="14:15" s="74" customFormat="1" ht="15.75" x14ac:dyDescent="0.2">
      <c r="N117" s="93"/>
      <c r="O117" s="93"/>
    </row>
    <row r="118" spans="14:15" s="74" customFormat="1" ht="15.75" x14ac:dyDescent="0.2">
      <c r="N118" s="93"/>
      <c r="O118" s="93"/>
    </row>
    <row r="119" spans="14:15" s="74" customFormat="1" ht="15.75" x14ac:dyDescent="0.2">
      <c r="N119" s="93"/>
      <c r="O119" s="93"/>
    </row>
    <row r="120" spans="14:15" s="74" customFormat="1" ht="15.75" x14ac:dyDescent="0.2">
      <c r="N120" s="93"/>
      <c r="O120" s="93"/>
    </row>
    <row r="121" spans="14:15" s="74" customFormat="1" ht="15.75" x14ac:dyDescent="0.2">
      <c r="N121" s="93"/>
      <c r="O121" s="93"/>
    </row>
    <row r="122" spans="14:15" s="74" customFormat="1" ht="15.75" x14ac:dyDescent="0.2">
      <c r="N122" s="93"/>
      <c r="O122" s="93"/>
    </row>
    <row r="123" spans="14:15" s="74" customFormat="1" ht="15.75" x14ac:dyDescent="0.2">
      <c r="N123" s="93"/>
      <c r="O123" s="93"/>
    </row>
    <row r="124" spans="14:15" s="74" customFormat="1" ht="15.75" x14ac:dyDescent="0.2">
      <c r="N124" s="93"/>
      <c r="O124" s="93"/>
    </row>
    <row r="125" spans="14:15" s="74" customFormat="1" ht="15.75" x14ac:dyDescent="0.2">
      <c r="N125" s="93"/>
      <c r="O125" s="93"/>
    </row>
    <row r="126" spans="14:15" s="74" customFormat="1" ht="15.75" x14ac:dyDescent="0.2">
      <c r="N126" s="93"/>
      <c r="O126" s="93"/>
    </row>
    <row r="127" spans="14:15" s="74" customFormat="1" ht="15.75" x14ac:dyDescent="0.2">
      <c r="N127" s="93"/>
      <c r="O127" s="93"/>
    </row>
    <row r="128" spans="14:15" s="74" customFormat="1" ht="15.75" x14ac:dyDescent="0.2">
      <c r="N128" s="93"/>
      <c r="O128" s="93"/>
    </row>
    <row r="129" spans="1:15" s="74" customFormat="1" ht="15.75" x14ac:dyDescent="0.2">
      <c r="N129" s="93"/>
      <c r="O129" s="93"/>
    </row>
    <row r="130" spans="1:15" s="74" customFormat="1" ht="15.75" x14ac:dyDescent="0.2">
      <c r="N130" s="93"/>
      <c r="O130" s="93"/>
    </row>
    <row r="131" spans="1:15" s="74" customFormat="1" ht="15.75" x14ac:dyDescent="0.2">
      <c r="N131" s="93"/>
      <c r="O131" s="93"/>
    </row>
    <row r="132" spans="1:15" s="74" customFormat="1" ht="15.75" x14ac:dyDescent="0.2">
      <c r="N132" s="93"/>
      <c r="O132" s="93"/>
    </row>
    <row r="133" spans="1:15" s="74" customFormat="1" ht="15.75" x14ac:dyDescent="0.2">
      <c r="N133" s="93"/>
      <c r="O133" s="93"/>
    </row>
    <row r="134" spans="1:15" s="74" customFormat="1" ht="15.75" x14ac:dyDescent="0.2">
      <c r="N134" s="93"/>
      <c r="O134" s="93"/>
    </row>
    <row r="135" spans="1:15" s="74" customFormat="1" ht="15.75" x14ac:dyDescent="0.2">
      <c r="N135" s="93"/>
      <c r="O135" s="93"/>
    </row>
    <row r="136" spans="1:15" s="74" customFormat="1" ht="15.75" x14ac:dyDescent="0.2">
      <c r="N136" s="93"/>
      <c r="O136" s="93"/>
    </row>
    <row r="137" spans="1:15" s="74" customFormat="1" ht="15.75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90"/>
      <c r="O137" s="90"/>
    </row>
    <row r="138" spans="1:15" s="74" customFormat="1" ht="15.75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90"/>
      <c r="O138" s="90"/>
    </row>
    <row r="139" spans="1:15" s="74" customFormat="1" ht="15.75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90"/>
      <c r="O139" s="90"/>
    </row>
    <row r="140" spans="1:15" s="74" customFormat="1" ht="15.75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90"/>
      <c r="O140" s="90"/>
    </row>
    <row r="141" spans="1:15" s="74" customFormat="1" ht="15.75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90"/>
      <c r="O141" s="90"/>
    </row>
    <row r="142" spans="1:15" s="74" customFormat="1" ht="15.75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90"/>
      <c r="O142" s="90"/>
    </row>
    <row r="143" spans="1:15" s="74" customFormat="1" ht="15.75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90"/>
      <c r="O143" s="90"/>
    </row>
    <row r="144" spans="1:15" s="74" customFormat="1" ht="15.75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90"/>
      <c r="O144" s="90"/>
    </row>
    <row r="145" spans="1:15" s="74" customFormat="1" ht="15.75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90"/>
      <c r="O145" s="90"/>
    </row>
    <row r="146" spans="1:15" s="74" customFormat="1" ht="15.75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90"/>
      <c r="O146" s="90"/>
    </row>
    <row r="147" spans="1:15" s="74" customFormat="1" ht="15.75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90"/>
      <c r="O147" s="90"/>
    </row>
    <row r="148" spans="1:15" s="74" customFormat="1" ht="15.75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90"/>
      <c r="O148" s="90"/>
    </row>
    <row r="149" spans="1:15" s="74" customFormat="1" ht="15.75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90"/>
      <c r="O149" s="90"/>
    </row>
    <row r="150" spans="1:15" s="74" customFormat="1" ht="15.75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90"/>
      <c r="O150" s="90"/>
    </row>
  </sheetData>
  <autoFilter ref="A7:O205"/>
  <mergeCells count="2">
    <mergeCell ref="A5:O5"/>
    <mergeCell ref="A4:P4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74" fitToHeight="36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7"/>
  <sheetViews>
    <sheetView topLeftCell="A83" zoomScale="90" zoomScaleNormal="90" workbookViewId="0">
      <selection activeCell="A96" sqref="A96"/>
    </sheetView>
  </sheetViews>
  <sheetFormatPr defaultColWidth="9.33203125" defaultRowHeight="18.75" x14ac:dyDescent="0.2"/>
  <cols>
    <col min="1" max="1" width="46.5" style="1" customWidth="1"/>
    <col min="2" max="2" width="23.1640625" style="1" customWidth="1"/>
    <col min="3" max="3" width="23.83203125" style="1" customWidth="1"/>
    <col min="4" max="4" width="25.1640625" style="1" customWidth="1"/>
    <col min="5" max="16384" width="9.33203125" style="1"/>
  </cols>
  <sheetData>
    <row r="2" spans="1:4" ht="26.25" customHeight="1" x14ac:dyDescent="0.2">
      <c r="A2" s="180" t="s">
        <v>379</v>
      </c>
      <c r="B2" s="180" t="s">
        <v>382</v>
      </c>
      <c r="C2" s="180" t="s">
        <v>383</v>
      </c>
      <c r="D2" s="180"/>
    </row>
    <row r="3" spans="1:4" ht="40.5" customHeight="1" x14ac:dyDescent="0.2">
      <c r="A3" s="180"/>
      <c r="B3" s="180"/>
      <c r="C3" s="3" t="s">
        <v>380</v>
      </c>
      <c r="D3" s="3" t="s">
        <v>381</v>
      </c>
    </row>
    <row r="4" spans="1:4" ht="54.75" customHeight="1" x14ac:dyDescent="0.2">
      <c r="A4" s="2" t="s">
        <v>360</v>
      </c>
      <c r="B4" s="3">
        <f>C4+D4</f>
        <v>38784360</v>
      </c>
      <c r="C4" s="3">
        <v>12791380</v>
      </c>
      <c r="D4" s="3">
        <v>25992980</v>
      </c>
    </row>
    <row r="5" spans="1:4" ht="54.75" customHeight="1" x14ac:dyDescent="0.2">
      <c r="A5" s="2" t="s">
        <v>359</v>
      </c>
      <c r="B5" s="3">
        <f t="shared" ref="B5:B10" si="0">C5+D5</f>
        <v>38784360</v>
      </c>
      <c r="C5" s="3">
        <v>31830270</v>
      </c>
      <c r="D5" s="3">
        <v>6954090</v>
      </c>
    </row>
    <row r="6" spans="1:4" ht="67.5" customHeight="1" x14ac:dyDescent="0.2">
      <c r="A6" s="2" t="s">
        <v>358</v>
      </c>
      <c r="B6" s="3">
        <f t="shared" si="0"/>
        <v>38784360</v>
      </c>
      <c r="C6" s="3">
        <v>31830270</v>
      </c>
      <c r="D6" s="3">
        <v>6954090</v>
      </c>
    </row>
    <row r="7" spans="1:4" ht="54.75" customHeight="1" x14ac:dyDescent="0.2">
      <c r="A7" s="2" t="s">
        <v>357</v>
      </c>
      <c r="B7" s="3">
        <f t="shared" si="0"/>
        <v>38784360</v>
      </c>
      <c r="C7" s="3">
        <v>31830270</v>
      </c>
      <c r="D7" s="3">
        <v>6954090</v>
      </c>
    </row>
    <row r="8" spans="1:4" ht="54.75" customHeight="1" x14ac:dyDescent="0.2">
      <c r="A8" s="2" t="s">
        <v>356</v>
      </c>
      <c r="B8" s="3">
        <f t="shared" si="0"/>
        <v>38784360</v>
      </c>
      <c r="C8" s="3">
        <v>31830270</v>
      </c>
      <c r="D8" s="3">
        <v>6954090</v>
      </c>
    </row>
    <row r="9" spans="1:4" ht="54.75" customHeight="1" x14ac:dyDescent="0.2">
      <c r="A9" s="2" t="s">
        <v>355</v>
      </c>
      <c r="B9" s="3">
        <f t="shared" si="0"/>
        <v>38784360</v>
      </c>
      <c r="C9" s="3">
        <v>0</v>
      </c>
      <c r="D9" s="3">
        <v>38784360</v>
      </c>
    </row>
    <row r="10" spans="1:4" ht="54.75" customHeight="1" x14ac:dyDescent="0.2">
      <c r="A10" s="2" t="s">
        <v>354</v>
      </c>
      <c r="B10" s="3">
        <f t="shared" si="0"/>
        <v>93349130</v>
      </c>
      <c r="C10" s="3">
        <v>76611240</v>
      </c>
      <c r="D10" s="3">
        <v>16737890</v>
      </c>
    </row>
    <row r="11" spans="1:4" x14ac:dyDescent="0.2">
      <c r="A11" s="2" t="s">
        <v>317</v>
      </c>
      <c r="B11" s="3">
        <f t="shared" ref="B11" si="1">C11+D11</f>
        <v>326055290</v>
      </c>
      <c r="C11" s="3">
        <f>SUM(C4:C10)</f>
        <v>216723700</v>
      </c>
      <c r="D11" s="3">
        <f>SUM(D4:D10)</f>
        <v>109331590</v>
      </c>
    </row>
    <row r="14" spans="1:4" ht="37.5" x14ac:dyDescent="0.2">
      <c r="A14" s="4" t="s">
        <v>379</v>
      </c>
      <c r="B14" s="4" t="s">
        <v>386</v>
      </c>
      <c r="C14" s="4" t="s">
        <v>384</v>
      </c>
      <c r="D14" s="4" t="s">
        <v>385</v>
      </c>
    </row>
    <row r="15" spans="1:4" ht="56.25" x14ac:dyDescent="0.2">
      <c r="A15" s="5" t="s">
        <v>252</v>
      </c>
      <c r="B15" s="3">
        <v>300000000</v>
      </c>
      <c r="C15" s="3">
        <v>-170753536.59999999</v>
      </c>
      <c r="D15" s="3">
        <f>300000000-170753536.6</f>
        <v>129246463.40000001</v>
      </c>
    </row>
    <row r="16" spans="1:4" ht="102.75" customHeight="1" x14ac:dyDescent="0.2">
      <c r="A16" s="5" t="s">
        <v>253</v>
      </c>
      <c r="B16" s="3">
        <v>0</v>
      </c>
      <c r="C16" s="3">
        <v>5000000</v>
      </c>
      <c r="D16" s="3">
        <v>5000000</v>
      </c>
    </row>
    <row r="17" spans="1:4" ht="93.75" x14ac:dyDescent="0.2">
      <c r="A17" s="5" t="s">
        <v>365</v>
      </c>
      <c r="B17" s="3">
        <v>0</v>
      </c>
      <c r="C17" s="3">
        <v>165753536.59999999</v>
      </c>
      <c r="D17" s="3">
        <v>165753536.59999999</v>
      </c>
    </row>
    <row r="18" spans="1:4" x14ac:dyDescent="0.2">
      <c r="A18" s="6" t="s">
        <v>317</v>
      </c>
      <c r="B18" s="4">
        <f>SUM(B15:B17)</f>
        <v>300000000</v>
      </c>
      <c r="C18" s="4">
        <f t="shared" ref="C18:D18" si="2">SUM(C15:C17)</f>
        <v>0</v>
      </c>
      <c r="D18" s="4">
        <f t="shared" si="2"/>
        <v>300000000</v>
      </c>
    </row>
    <row r="23" spans="1:4" ht="37.5" x14ac:dyDescent="0.2">
      <c r="A23" s="4" t="s">
        <v>379</v>
      </c>
      <c r="B23" s="4" t="s">
        <v>387</v>
      </c>
      <c r="C23" s="4" t="s">
        <v>384</v>
      </c>
      <c r="D23" s="4" t="s">
        <v>385</v>
      </c>
    </row>
    <row r="24" spans="1:4" ht="93.75" x14ac:dyDescent="0.2">
      <c r="A24" s="7" t="s">
        <v>93</v>
      </c>
      <c r="B24" s="3">
        <f>D24-C24</f>
        <v>121140139</v>
      </c>
      <c r="C24" s="3">
        <v>250000</v>
      </c>
      <c r="D24" s="8">
        <f>121140139+250000</f>
        <v>121390139</v>
      </c>
    </row>
    <row r="25" spans="1:4" ht="93.75" x14ac:dyDescent="0.2">
      <c r="A25" s="7" t="s">
        <v>95</v>
      </c>
      <c r="B25" s="3">
        <f t="shared" ref="B25:B28" si="3">D25-C25</f>
        <v>92549780</v>
      </c>
      <c r="C25" s="3">
        <v>137000</v>
      </c>
      <c r="D25" s="8">
        <f>92549780+137000</f>
        <v>92686780</v>
      </c>
    </row>
    <row r="26" spans="1:4" ht="93.75" x14ac:dyDescent="0.2">
      <c r="A26" s="7" t="s">
        <v>96</v>
      </c>
      <c r="B26" s="3">
        <f t="shared" si="3"/>
        <v>20908787</v>
      </c>
      <c r="C26" s="3">
        <v>196000</v>
      </c>
      <c r="D26" s="8">
        <f>20908787+196000</f>
        <v>21104787</v>
      </c>
    </row>
    <row r="27" spans="1:4" ht="93.75" x14ac:dyDescent="0.2">
      <c r="A27" s="7" t="s">
        <v>97</v>
      </c>
      <c r="B27" s="3">
        <f t="shared" si="3"/>
        <v>13580993</v>
      </c>
      <c r="C27" s="3">
        <v>39000</v>
      </c>
      <c r="D27" s="8">
        <f>13580993+39000</f>
        <v>13619993</v>
      </c>
    </row>
    <row r="28" spans="1:4" ht="75" x14ac:dyDescent="0.2">
      <c r="A28" s="7" t="s">
        <v>363</v>
      </c>
      <c r="B28" s="3">
        <f t="shared" si="3"/>
        <v>7501603.5199999996</v>
      </c>
      <c r="C28" s="3">
        <v>17339888</v>
      </c>
      <c r="D28" s="8">
        <f>7501603.52+17339888</f>
        <v>24841491.52</v>
      </c>
    </row>
    <row r="29" spans="1:4" x14ac:dyDescent="0.2">
      <c r="A29" s="6" t="s">
        <v>317</v>
      </c>
      <c r="B29" s="4">
        <f>SUM(B24:B28)</f>
        <v>255681302.52000001</v>
      </c>
      <c r="C29" s="4">
        <f t="shared" ref="C29:D29" si="4">SUM(C24:C28)</f>
        <v>17961888</v>
      </c>
      <c r="D29" s="4">
        <f t="shared" si="4"/>
        <v>273643190.51999998</v>
      </c>
    </row>
    <row r="32" spans="1:4" ht="37.5" x14ac:dyDescent="0.2">
      <c r="A32" s="12" t="s">
        <v>379</v>
      </c>
      <c r="B32" s="12" t="s">
        <v>386</v>
      </c>
      <c r="C32" s="12" t="s">
        <v>384</v>
      </c>
      <c r="D32" s="12" t="s">
        <v>385</v>
      </c>
    </row>
    <row r="33" spans="1:4" ht="150" x14ac:dyDescent="0.2">
      <c r="A33" s="11" t="s">
        <v>112</v>
      </c>
      <c r="B33" s="12">
        <v>9631836.7100000009</v>
      </c>
      <c r="C33" s="12">
        <v>8000000</v>
      </c>
      <c r="D33" s="12">
        <f>B33+C33</f>
        <v>17631836.710000001</v>
      </c>
    </row>
    <row r="34" spans="1:4" ht="112.5" x14ac:dyDescent="0.2">
      <c r="A34" s="13" t="s">
        <v>330</v>
      </c>
      <c r="B34" s="12">
        <v>6063600</v>
      </c>
      <c r="C34" s="12">
        <v>-3340202.4</v>
      </c>
      <c r="D34" s="12">
        <f>B34+C34</f>
        <v>2723397.6</v>
      </c>
    </row>
    <row r="35" spans="1:4" x14ac:dyDescent="0.2">
      <c r="A35" s="14" t="s">
        <v>317</v>
      </c>
      <c r="B35" s="12">
        <f>SUM(B33:B34)</f>
        <v>15695436.710000001</v>
      </c>
      <c r="C35" s="12">
        <f>SUM(C33:C34)</f>
        <v>4659797.5999999996</v>
      </c>
      <c r="D35" s="12">
        <f>SUM(D33:D34)</f>
        <v>20355234.310000002</v>
      </c>
    </row>
    <row r="39" spans="1:4" ht="37.5" x14ac:dyDescent="0.2">
      <c r="A39" s="3" t="s">
        <v>379</v>
      </c>
      <c r="B39" s="3" t="s">
        <v>387</v>
      </c>
      <c r="C39" s="3" t="s">
        <v>384</v>
      </c>
      <c r="D39" s="3" t="s">
        <v>385</v>
      </c>
    </row>
    <row r="40" spans="1:4" ht="112.5" x14ac:dyDescent="0.2">
      <c r="A40" s="10" t="s">
        <v>106</v>
      </c>
      <c r="B40" s="3">
        <f>D40-C40</f>
        <v>56201817</v>
      </c>
      <c r="C40" s="3">
        <v>188977</v>
      </c>
      <c r="D40" s="16">
        <f>56397817-196000+188977</f>
        <v>56390794</v>
      </c>
    </row>
    <row r="41" spans="1:4" ht="75" x14ac:dyDescent="0.2">
      <c r="A41" s="10" t="s">
        <v>321</v>
      </c>
      <c r="B41" s="3">
        <f t="shared" ref="B41:B45" si="5">D41-C41</f>
        <v>22000000</v>
      </c>
      <c r="C41" s="3">
        <v>7582221</v>
      </c>
      <c r="D41" s="16">
        <f>22000000+6892559.72+689661.28</f>
        <v>29582221</v>
      </c>
    </row>
    <row r="42" spans="1:4" ht="112.5" x14ac:dyDescent="0.2">
      <c r="A42" s="10" t="s">
        <v>329</v>
      </c>
      <c r="B42" s="3">
        <f t="shared" si="5"/>
        <v>63094182.590000004</v>
      </c>
      <c r="C42" s="3">
        <v>-19957687.039999999</v>
      </c>
      <c r="D42" s="16">
        <f>63094182.59-19957687.04</f>
        <v>43136495.550000004</v>
      </c>
    </row>
    <row r="43" spans="1:4" ht="93.75" x14ac:dyDescent="0.2">
      <c r="A43" s="10" t="s">
        <v>335</v>
      </c>
      <c r="B43" s="3">
        <f t="shared" si="5"/>
        <v>196000</v>
      </c>
      <c r="C43" s="3">
        <v>1421000</v>
      </c>
      <c r="D43" s="16">
        <f>196000+1421000</f>
        <v>1617000</v>
      </c>
    </row>
    <row r="44" spans="1:4" ht="75" x14ac:dyDescent="0.2">
      <c r="A44" s="10" t="s">
        <v>352</v>
      </c>
      <c r="B44" s="3">
        <f t="shared" si="5"/>
        <v>0</v>
      </c>
      <c r="C44" s="3">
        <v>23068</v>
      </c>
      <c r="D44" s="16">
        <v>23068</v>
      </c>
    </row>
    <row r="45" spans="1:4" ht="93.75" x14ac:dyDescent="0.2">
      <c r="A45" s="10" t="s">
        <v>364</v>
      </c>
      <c r="B45" s="3">
        <f t="shared" si="5"/>
        <v>0</v>
      </c>
      <c r="C45" s="3">
        <v>4687473</v>
      </c>
      <c r="D45" s="16">
        <v>4687473</v>
      </c>
    </row>
    <row r="46" spans="1:4" x14ac:dyDescent="0.2">
      <c r="A46" s="15" t="s">
        <v>317</v>
      </c>
      <c r="B46" s="3">
        <f>SUM(B40:B45)</f>
        <v>141491999.59</v>
      </c>
      <c r="C46" s="3">
        <f t="shared" ref="C46:D46" si="6">SUM(C40:C45)</f>
        <v>-6054948.0399999991</v>
      </c>
      <c r="D46" s="3">
        <f t="shared" si="6"/>
        <v>135437051.55000001</v>
      </c>
    </row>
    <row r="51" spans="1:4" ht="26.25" customHeight="1" x14ac:dyDescent="0.2">
      <c r="A51" s="180" t="s">
        <v>379</v>
      </c>
      <c r="B51" s="180" t="s">
        <v>382</v>
      </c>
      <c r="C51" s="180" t="s">
        <v>383</v>
      </c>
      <c r="D51" s="180"/>
    </row>
    <row r="52" spans="1:4" ht="40.5" customHeight="1" x14ac:dyDescent="0.2">
      <c r="A52" s="180"/>
      <c r="B52" s="180"/>
      <c r="C52" s="3" t="s">
        <v>380</v>
      </c>
      <c r="D52" s="3" t="s">
        <v>381</v>
      </c>
    </row>
    <row r="53" spans="1:4" ht="72" customHeight="1" x14ac:dyDescent="0.2">
      <c r="A53" s="13" t="s">
        <v>368</v>
      </c>
      <c r="B53" s="3" t="e">
        <f>C53+D53</f>
        <v>#REF!</v>
      </c>
      <c r="C53" s="3" t="e">
        <f>'Приложение 2'!#REF!</f>
        <v>#REF!</v>
      </c>
      <c r="D53" s="3">
        <f>'Приложение 2'!M84</f>
        <v>70011846</v>
      </c>
    </row>
    <row r="54" spans="1:4" ht="54.75" customHeight="1" x14ac:dyDescent="0.2">
      <c r="A54" s="13" t="s">
        <v>369</v>
      </c>
      <c r="B54" s="3" t="e">
        <f t="shared" ref="B54:B58" si="7">C54+D54</f>
        <v>#REF!</v>
      </c>
      <c r="C54" s="3" t="e">
        <f>'Приложение 2'!#REF!</f>
        <v>#REF!</v>
      </c>
      <c r="D54" s="3">
        <f>'Приложение 2'!M86</f>
        <v>44254001.509999998</v>
      </c>
    </row>
    <row r="55" spans="1:4" ht="50.25" customHeight="1" x14ac:dyDescent="0.2">
      <c r="A55" s="13" t="s">
        <v>370</v>
      </c>
      <c r="B55" s="3" t="e">
        <f t="shared" si="7"/>
        <v>#REF!</v>
      </c>
      <c r="C55" s="3">
        <v>0</v>
      </c>
      <c r="D55" s="3" t="e">
        <f>'Приложение 2'!#REF!</f>
        <v>#REF!</v>
      </c>
    </row>
    <row r="56" spans="1:4" ht="75.75" customHeight="1" x14ac:dyDescent="0.2">
      <c r="A56" s="13" t="s">
        <v>371</v>
      </c>
      <c r="B56" s="3">
        <f t="shared" si="7"/>
        <v>32796153.689999998</v>
      </c>
      <c r="C56" s="3">
        <v>0</v>
      </c>
      <c r="D56" s="3">
        <f>'Приложение 2'!M87</f>
        <v>32796153.689999998</v>
      </c>
    </row>
    <row r="57" spans="1:4" ht="48" customHeight="1" x14ac:dyDescent="0.2">
      <c r="A57" s="13" t="s">
        <v>362</v>
      </c>
      <c r="B57" s="3" t="e">
        <f t="shared" si="7"/>
        <v>#REF!</v>
      </c>
      <c r="C57" s="3" t="e">
        <f>'Приложение 2'!#REF!</f>
        <v>#REF!</v>
      </c>
      <c r="D57" s="3">
        <f>'Приложение 2'!M89</f>
        <v>37999999.990000002</v>
      </c>
    </row>
    <row r="58" spans="1:4" ht="36.75" customHeight="1" x14ac:dyDescent="0.2">
      <c r="A58" s="13" t="s">
        <v>276</v>
      </c>
      <c r="B58" s="3" t="e">
        <f t="shared" si="7"/>
        <v>#REF!</v>
      </c>
      <c r="C58" s="3">
        <v>0</v>
      </c>
      <c r="D58" s="3" t="e">
        <f>'Приложение 2'!#REF!</f>
        <v>#REF!</v>
      </c>
    </row>
    <row r="59" spans="1:4" x14ac:dyDescent="0.2">
      <c r="A59" s="2" t="s">
        <v>317</v>
      </c>
      <c r="B59" s="3" t="e">
        <f>SUM(B53:B58)</f>
        <v>#REF!</v>
      </c>
      <c r="C59" s="3" t="e">
        <f>SUM(C53:C58)</f>
        <v>#REF!</v>
      </c>
      <c r="D59" s="3" t="e">
        <f>SUM(D53:D58)</f>
        <v>#REF!</v>
      </c>
    </row>
    <row r="62" spans="1:4" ht="37.5" x14ac:dyDescent="0.2">
      <c r="A62" s="3" t="s">
        <v>379</v>
      </c>
      <c r="B62" s="3" t="s">
        <v>387</v>
      </c>
      <c r="C62" s="3" t="s">
        <v>384</v>
      </c>
      <c r="D62" s="3" t="s">
        <v>385</v>
      </c>
    </row>
    <row r="63" spans="1:4" ht="56.25" x14ac:dyDescent="0.2">
      <c r="A63" s="13" t="s">
        <v>345</v>
      </c>
      <c r="B63" s="3">
        <v>1360067</v>
      </c>
      <c r="C63" s="3">
        <v>-1360067</v>
      </c>
      <c r="D63" s="16">
        <f>B63+C63</f>
        <v>0</v>
      </c>
    </row>
    <row r="64" spans="1:4" ht="75" x14ac:dyDescent="0.2">
      <c r="A64" s="13" t="s">
        <v>348</v>
      </c>
      <c r="B64" s="3">
        <v>1658472</v>
      </c>
      <c r="C64" s="3">
        <v>633479</v>
      </c>
      <c r="D64" s="16">
        <f>B64+C64</f>
        <v>2291951</v>
      </c>
    </row>
    <row r="65" spans="1:4" ht="56.25" x14ac:dyDescent="0.2">
      <c r="A65" s="10" t="s">
        <v>188</v>
      </c>
      <c r="B65" s="3">
        <v>1210718</v>
      </c>
      <c r="C65" s="3">
        <v>-0.61</v>
      </c>
      <c r="D65" s="16">
        <f t="shared" ref="D65:D73" si="8">B65+C65</f>
        <v>1210717.3899999999</v>
      </c>
    </row>
    <row r="66" spans="1:4" ht="56.25" x14ac:dyDescent="0.2">
      <c r="A66" s="10" t="s">
        <v>191</v>
      </c>
      <c r="B66" s="3">
        <v>190722</v>
      </c>
      <c r="C66" s="3">
        <v>-0.26</v>
      </c>
      <c r="D66" s="16">
        <f t="shared" si="8"/>
        <v>190721.74</v>
      </c>
    </row>
    <row r="67" spans="1:4" ht="56.25" x14ac:dyDescent="0.2">
      <c r="A67" s="13" t="s">
        <v>193</v>
      </c>
      <c r="B67" s="3">
        <v>2912367.5</v>
      </c>
      <c r="C67" s="3">
        <v>-2912367.5</v>
      </c>
      <c r="D67" s="16">
        <f t="shared" si="8"/>
        <v>0</v>
      </c>
    </row>
    <row r="68" spans="1:4" ht="56.25" x14ac:dyDescent="0.2">
      <c r="A68" s="10" t="s">
        <v>236</v>
      </c>
      <c r="B68" s="3">
        <v>0</v>
      </c>
      <c r="C68" s="3">
        <v>2573550</v>
      </c>
      <c r="D68" s="16">
        <f t="shared" si="8"/>
        <v>2573550</v>
      </c>
    </row>
    <row r="69" spans="1:4" ht="56.25" x14ac:dyDescent="0.2">
      <c r="A69" s="10" t="s">
        <v>342</v>
      </c>
      <c r="B69" s="3">
        <v>0</v>
      </c>
      <c r="C69" s="3">
        <v>1111500</v>
      </c>
      <c r="D69" s="16">
        <f t="shared" si="8"/>
        <v>1111500</v>
      </c>
    </row>
    <row r="70" spans="1:4" ht="37.5" x14ac:dyDescent="0.2">
      <c r="A70" s="10" t="s">
        <v>195</v>
      </c>
      <c r="B70" s="3">
        <v>5724358</v>
      </c>
      <c r="C70" s="3">
        <f>192225-0.39</f>
        <v>192224.61</v>
      </c>
      <c r="D70" s="16">
        <f t="shared" si="8"/>
        <v>5916582.6100000003</v>
      </c>
    </row>
    <row r="71" spans="1:4" ht="56.25" x14ac:dyDescent="0.2">
      <c r="A71" s="10" t="s">
        <v>197</v>
      </c>
      <c r="B71" s="3">
        <v>420736</v>
      </c>
      <c r="C71" s="3">
        <v>-0.13</v>
      </c>
      <c r="D71" s="16">
        <f t="shared" si="8"/>
        <v>420735.87</v>
      </c>
    </row>
    <row r="72" spans="1:4" ht="37.5" x14ac:dyDescent="0.2">
      <c r="A72" s="10" t="s">
        <v>198</v>
      </c>
      <c r="B72" s="3">
        <v>3541648</v>
      </c>
      <c r="C72" s="3">
        <v>-0.17</v>
      </c>
      <c r="D72" s="16">
        <f t="shared" si="8"/>
        <v>3541647.83</v>
      </c>
    </row>
    <row r="73" spans="1:4" ht="56.25" x14ac:dyDescent="0.2">
      <c r="A73" s="13" t="s">
        <v>200</v>
      </c>
      <c r="B73" s="3">
        <v>248235</v>
      </c>
      <c r="C73" s="3">
        <v>-248235</v>
      </c>
      <c r="D73" s="16">
        <f t="shared" si="8"/>
        <v>0</v>
      </c>
    </row>
    <row r="74" spans="1:4" ht="75" x14ac:dyDescent="0.2">
      <c r="A74" s="13" t="s">
        <v>350</v>
      </c>
      <c r="B74" s="3">
        <v>351386</v>
      </c>
      <c r="C74" s="3">
        <v>-0.13</v>
      </c>
      <c r="D74" s="16">
        <f t="shared" ref="D74" si="9">B74+C74</f>
        <v>351385.87</v>
      </c>
    </row>
    <row r="75" spans="1:4" x14ac:dyDescent="0.2">
      <c r="A75" s="15" t="s">
        <v>317</v>
      </c>
      <c r="B75" s="3">
        <f>SUM(B63:B74)</f>
        <v>17618709.5</v>
      </c>
      <c r="C75" s="3">
        <f t="shared" ref="C75:D75" si="10">SUM(C63:C74)</f>
        <v>-9917.1900000001424</v>
      </c>
      <c r="D75" s="3">
        <f t="shared" si="10"/>
        <v>17608792.309999999</v>
      </c>
    </row>
    <row r="78" spans="1:4" x14ac:dyDescent="0.2">
      <c r="A78" s="17"/>
      <c r="B78" s="17"/>
      <c r="C78" s="17"/>
      <c r="D78" s="17"/>
    </row>
    <row r="79" spans="1:4" ht="37.5" x14ac:dyDescent="0.2">
      <c r="A79" s="9" t="s">
        <v>379</v>
      </c>
      <c r="B79" s="9" t="s">
        <v>387</v>
      </c>
      <c r="C79" s="9" t="s">
        <v>384</v>
      </c>
      <c r="D79" s="9" t="s">
        <v>385</v>
      </c>
    </row>
    <row r="80" spans="1:4" ht="150" x14ac:dyDescent="0.2">
      <c r="A80" s="10" t="s">
        <v>250</v>
      </c>
      <c r="B80" s="9">
        <v>28130409</v>
      </c>
      <c r="C80" s="9">
        <v>-315425.68</v>
      </c>
      <c r="D80" s="16">
        <f t="shared" ref="D80" si="11">B80+C80</f>
        <v>27814983.32</v>
      </c>
    </row>
    <row r="81" spans="1:4" ht="56.25" x14ac:dyDescent="0.2">
      <c r="A81" s="10" t="s">
        <v>252</v>
      </c>
      <c r="B81" s="9">
        <v>10687813</v>
      </c>
      <c r="C81" s="9">
        <v>-10687813</v>
      </c>
      <c r="D81" s="16">
        <f>B81+C81</f>
        <v>0</v>
      </c>
    </row>
    <row r="82" spans="1:4" ht="131.25" x14ac:dyDescent="0.2">
      <c r="A82" s="10" t="s">
        <v>253</v>
      </c>
      <c r="B82" s="9">
        <v>0</v>
      </c>
      <c r="C82" s="9">
        <v>24068366</v>
      </c>
      <c r="D82" s="16">
        <f>B82+C82</f>
        <v>24068366</v>
      </c>
    </row>
    <row r="83" spans="1:4" ht="93.75" x14ac:dyDescent="0.2">
      <c r="A83" s="10" t="s">
        <v>353</v>
      </c>
      <c r="B83" s="9">
        <v>0</v>
      </c>
      <c r="C83" s="9">
        <v>25421461.399999999</v>
      </c>
      <c r="D83" s="16">
        <f>B83+C83</f>
        <v>25421461.399999999</v>
      </c>
    </row>
    <row r="84" spans="1:4" x14ac:dyDescent="0.2">
      <c r="A84" s="15" t="s">
        <v>317</v>
      </c>
      <c r="B84" s="9">
        <f>SUM(B80:B83)</f>
        <v>38818222</v>
      </c>
      <c r="C84" s="9">
        <f t="shared" ref="C84:D84" si="12">SUM(C80:C83)</f>
        <v>38486588.719999999</v>
      </c>
      <c r="D84" s="9">
        <f t="shared" si="12"/>
        <v>77304810.719999999</v>
      </c>
    </row>
    <row r="90" spans="1:4" ht="37.5" x14ac:dyDescent="0.2">
      <c r="A90" s="9" t="s">
        <v>379</v>
      </c>
      <c r="B90" s="9" t="s">
        <v>387</v>
      </c>
      <c r="C90" s="9" t="s">
        <v>384</v>
      </c>
      <c r="D90" s="9" t="s">
        <v>385</v>
      </c>
    </row>
    <row r="91" spans="1:4" ht="56.25" x14ac:dyDescent="0.2">
      <c r="A91" s="13" t="s">
        <v>345</v>
      </c>
      <c r="B91" s="9">
        <v>0</v>
      </c>
      <c r="C91" s="9">
        <v>1360067</v>
      </c>
      <c r="D91" s="16">
        <f>B91+C91</f>
        <v>1360067</v>
      </c>
    </row>
    <row r="92" spans="1:4" ht="56.25" x14ac:dyDescent="0.2">
      <c r="A92" s="13" t="s">
        <v>193</v>
      </c>
      <c r="B92" s="9">
        <v>0</v>
      </c>
      <c r="C92" s="9">
        <v>2912367.5</v>
      </c>
      <c r="D92" s="16">
        <f>B92+C92</f>
        <v>2912367.5</v>
      </c>
    </row>
    <row r="93" spans="1:4" ht="56.25" x14ac:dyDescent="0.2">
      <c r="A93" s="13" t="s">
        <v>200</v>
      </c>
      <c r="B93" s="9">
        <v>0</v>
      </c>
      <c r="C93" s="9">
        <v>248235</v>
      </c>
      <c r="D93" s="16">
        <f>B93+C93</f>
        <v>248235</v>
      </c>
    </row>
    <row r="94" spans="1:4" ht="56.25" x14ac:dyDescent="0.2">
      <c r="A94" s="10" t="s">
        <v>236</v>
      </c>
      <c r="B94" s="9">
        <v>2573550</v>
      </c>
      <c r="C94" s="9">
        <v>-2573550</v>
      </c>
      <c r="D94" s="16">
        <f t="shared" ref="D94:D97" si="13">B94+C94</f>
        <v>0</v>
      </c>
    </row>
    <row r="95" spans="1:4" ht="56.25" x14ac:dyDescent="0.2">
      <c r="A95" s="10" t="s">
        <v>342</v>
      </c>
      <c r="B95" s="9">
        <v>1111500</v>
      </c>
      <c r="C95" s="9">
        <v>-1111500</v>
      </c>
      <c r="D95" s="16">
        <f t="shared" si="13"/>
        <v>0</v>
      </c>
    </row>
    <row r="96" spans="1:4" ht="56.25" x14ac:dyDescent="0.2">
      <c r="A96" s="10" t="s">
        <v>232</v>
      </c>
      <c r="B96" s="9">
        <v>414373</v>
      </c>
      <c r="C96" s="9">
        <v>992940</v>
      </c>
      <c r="D96" s="16">
        <f t="shared" si="13"/>
        <v>1407313</v>
      </c>
    </row>
    <row r="97" spans="1:4" ht="56.25" x14ac:dyDescent="0.2">
      <c r="A97" s="10" t="s">
        <v>233</v>
      </c>
      <c r="B97" s="9">
        <v>342000</v>
      </c>
      <c r="C97" s="9">
        <v>532000</v>
      </c>
      <c r="D97" s="16">
        <f t="shared" si="13"/>
        <v>874000</v>
      </c>
    </row>
    <row r="98" spans="1:4" ht="37.5" x14ac:dyDescent="0.2">
      <c r="A98" s="10" t="s">
        <v>367</v>
      </c>
      <c r="B98" s="9">
        <v>0</v>
      </c>
      <c r="C98" s="9">
        <v>300000</v>
      </c>
      <c r="D98" s="16">
        <f>B98+C98</f>
        <v>300000</v>
      </c>
    </row>
    <row r="99" spans="1:4" ht="93.75" x14ac:dyDescent="0.2">
      <c r="A99" s="10" t="s">
        <v>388</v>
      </c>
      <c r="B99" s="9">
        <v>646890.15</v>
      </c>
      <c r="C99" s="9">
        <v>-646890.15</v>
      </c>
      <c r="D99" s="16">
        <f t="shared" ref="D99:D106" si="14">B99+C99</f>
        <v>0</v>
      </c>
    </row>
    <row r="100" spans="1:4" ht="56.25" x14ac:dyDescent="0.2">
      <c r="A100" s="10" t="s">
        <v>242</v>
      </c>
      <c r="B100" s="9">
        <v>4083793</v>
      </c>
      <c r="C100" s="9">
        <v>-4000000</v>
      </c>
      <c r="D100" s="16">
        <f t="shared" si="14"/>
        <v>83793</v>
      </c>
    </row>
    <row r="101" spans="1:4" ht="150" x14ac:dyDescent="0.2">
      <c r="A101" s="13" t="s">
        <v>372</v>
      </c>
      <c r="B101" s="9">
        <v>7653000</v>
      </c>
      <c r="C101" s="9">
        <v>10378285</v>
      </c>
      <c r="D101" s="16">
        <f t="shared" si="14"/>
        <v>18031285</v>
      </c>
    </row>
    <row r="102" spans="1:4" ht="174.75" customHeight="1" x14ac:dyDescent="0.2">
      <c r="A102" s="13" t="s">
        <v>373</v>
      </c>
      <c r="B102" s="9">
        <v>10346000</v>
      </c>
      <c r="C102" s="9">
        <v>873927</v>
      </c>
      <c r="D102" s="16">
        <f t="shared" si="14"/>
        <v>11219927</v>
      </c>
    </row>
    <row r="103" spans="1:4" ht="93" customHeight="1" x14ac:dyDescent="0.2">
      <c r="A103" s="13" t="s">
        <v>374</v>
      </c>
      <c r="B103" s="9">
        <v>5453720</v>
      </c>
      <c r="C103" s="9">
        <v>5336028</v>
      </c>
      <c r="D103" s="16">
        <f t="shared" si="14"/>
        <v>10789748</v>
      </c>
    </row>
    <row r="104" spans="1:4" ht="104.25" customHeight="1" x14ac:dyDescent="0.2">
      <c r="A104" s="13" t="s">
        <v>375</v>
      </c>
      <c r="B104" s="9">
        <v>117631000</v>
      </c>
      <c r="C104" s="9">
        <v>-6210055</v>
      </c>
      <c r="D104" s="16">
        <f t="shared" si="14"/>
        <v>111420945</v>
      </c>
    </row>
    <row r="105" spans="1:4" ht="94.5" customHeight="1" x14ac:dyDescent="0.2">
      <c r="A105" s="13" t="s">
        <v>376</v>
      </c>
      <c r="B105" s="9">
        <v>117633000</v>
      </c>
      <c r="C105" s="9">
        <v>-10378185</v>
      </c>
      <c r="D105" s="16">
        <f t="shared" si="14"/>
        <v>107254815</v>
      </c>
    </row>
    <row r="106" spans="1:4" ht="60" customHeight="1" x14ac:dyDescent="0.2">
      <c r="A106" s="18" t="s">
        <v>347</v>
      </c>
      <c r="B106" s="9">
        <v>0</v>
      </c>
      <c r="C106" s="9">
        <v>1129360</v>
      </c>
      <c r="D106" s="16">
        <f t="shared" si="14"/>
        <v>1129360</v>
      </c>
    </row>
    <row r="107" spans="1:4" x14ac:dyDescent="0.2">
      <c r="A107" s="15" t="s">
        <v>317</v>
      </c>
      <c r="B107" s="9">
        <f>SUM(B91:B106)</f>
        <v>267888826.15000001</v>
      </c>
      <c r="C107" s="9">
        <f>SUM(C91:C106)</f>
        <v>-856970.65000000037</v>
      </c>
      <c r="D107" s="9">
        <f>SUM(D91:D106)</f>
        <v>267031855.5</v>
      </c>
    </row>
  </sheetData>
  <mergeCells count="6">
    <mergeCell ref="A2:A3"/>
    <mergeCell ref="B2:B3"/>
    <mergeCell ref="C2:D2"/>
    <mergeCell ref="A51:A52"/>
    <mergeCell ref="B51:B52"/>
    <mergeCell ref="C51:D51"/>
  </mergeCells>
  <pageMargins left="0.7" right="0.7" top="0.75" bottom="0.75" header="0.3" footer="0.3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для пояснительной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'для пояснительной'!Область_печати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Сучкова Е.В.</dc:creator>
  <cp:lastModifiedBy>Сучкова Е.В.</cp:lastModifiedBy>
  <cp:lastPrinted>2019-01-18T10:59:14Z</cp:lastPrinted>
  <dcterms:created xsi:type="dcterms:W3CDTF">2006-09-16T00:00:00Z</dcterms:created>
  <dcterms:modified xsi:type="dcterms:W3CDTF">2019-01-21T07:40:36Z</dcterms:modified>
</cp:coreProperties>
</file>